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MisDocs\2017-2018\CopiasSegsPublic\Jorge\CosasExcel\Mios\Futbol\Mundial\"/>
    </mc:Choice>
  </mc:AlternateContent>
  <workbookProtection lockStructure="1"/>
  <bookViews>
    <workbookView showSheetTabs="0" xWindow="240" yWindow="105" windowWidth="14805" windowHeight="8010" tabRatio="616" firstSheet="5" activeTab="5"/>
  </bookViews>
  <sheets>
    <sheet name="Config" sheetId="1" state="hidden" r:id="rId1"/>
    <sheet name="ConfigPaises" sheetId="15" state="hidden" r:id="rId2"/>
    <sheet name="ConfigEstadios" sheetId="10" state="hidden" r:id="rId3"/>
    <sheet name="ConfigHorarios" sheetId="12" state="hidden" r:id="rId4"/>
    <sheet name="ConfigParejas" sheetId="4" state="hidden" r:id="rId5"/>
    <sheet name="Portada" sheetId="16" r:id="rId6"/>
    <sheet name="FaseGrupos" sheetId="2" r:id="rId7"/>
    <sheet name="FairPlay" sheetId="5" r:id="rId8"/>
    <sheet name="FaseFinal" sheetId="6" r:id="rId9"/>
    <sheet name="Equipos" sheetId="7" r:id="rId10"/>
    <sheet name="Sedes" sheetId="9" r:id="rId11"/>
    <sheet name="Grupos" sheetId="14" r:id="rId12"/>
    <sheet name="Version" sheetId="17" r:id="rId13"/>
    <sheet name="Traduccion" sheetId="3" r:id="rId14"/>
  </sheets>
  <definedNames>
    <definedName name="bandera">INDIRECT(Equipos!$B$4)</definedName>
    <definedName name="config_abreviaturas">Config!$AA$2:$AA$11</definedName>
    <definedName name="config_filas">Config!$W$2:$W$11</definedName>
    <definedName name="estadio_foto">INDIRECT(Sedes!$G$7)</definedName>
    <definedName name="estadios">ConfigEstadios!$A$2:$A$13</definedName>
    <definedName name="estadios_final">FaseFinal!$A$6:$AA$25</definedName>
    <definedName name="estadios_final_cnf">FaseFinal!$M$6:$M$25</definedName>
    <definedName name="estadios_grupos">FaseGrupos!$A$6:$AA$53</definedName>
    <definedName name="estadios_grupos_cnf">FaseGrupos!$M$6:$M$53</definedName>
    <definedName name="nombres_grupos">OFFSET(Config!$AA$14,0,0,Config!$AA$28,1)</definedName>
    <definedName name="paises_cnf">ConfigPaises!$A$1:$H$33</definedName>
    <definedName name="paises_nombres">ConfigPaises!$A$1:$A$33</definedName>
  </definedNames>
  <calcPr calcId="152511"/>
</workbook>
</file>

<file path=xl/calcChain.xml><?xml version="1.0" encoding="utf-8"?>
<calcChain xmlns="http://schemas.openxmlformats.org/spreadsheetml/2006/main">
  <c r="C1" i="12" l="1"/>
  <c r="B3" i="3" l="1"/>
  <c r="B7" i="3" s="1"/>
  <c r="B24" i="16" s="1"/>
  <c r="B6" i="3" l="1"/>
  <c r="B28" i="16" s="1"/>
  <c r="B36" i="3"/>
  <c r="B5" i="3"/>
  <c r="B22" i="16" s="1"/>
  <c r="B39" i="3" l="1"/>
  <c r="E14" i="5" s="1"/>
  <c r="B40" i="3"/>
  <c r="E15" i="5" s="1"/>
  <c r="I29" i="15"/>
  <c r="J18" i="6" l="1"/>
  <c r="K18" i="6" s="1"/>
  <c r="B20" i="3"/>
  <c r="B38" i="3"/>
  <c r="E13" i="5" s="1"/>
  <c r="B37" i="3"/>
  <c r="E12" i="5" s="1"/>
  <c r="B35" i="3"/>
  <c r="B20" i="7" s="1"/>
  <c r="B34" i="3"/>
  <c r="B18" i="7" s="1"/>
  <c r="B33" i="3"/>
  <c r="B16" i="7" s="1"/>
  <c r="B32" i="3"/>
  <c r="B13" i="7" s="1"/>
  <c r="B31" i="3"/>
  <c r="D12" i="17" s="1"/>
  <c r="B30" i="3"/>
  <c r="D11" i="17" s="1"/>
  <c r="B29" i="3"/>
  <c r="D10" i="17" s="1"/>
  <c r="B28" i="3"/>
  <c r="D9" i="17" s="1"/>
  <c r="B27" i="3"/>
  <c r="D8" i="17" s="1"/>
  <c r="B26" i="3"/>
  <c r="D7" i="17" s="1"/>
  <c r="B25" i="3"/>
  <c r="B12" i="17" s="1"/>
  <c r="B63" i="3"/>
  <c r="C14" i="17" s="1"/>
  <c r="B12" i="3"/>
  <c r="E5" i="5" s="1"/>
  <c r="I25" i="15"/>
  <c r="I24" i="15"/>
  <c r="I23" i="15"/>
  <c r="I22" i="15"/>
  <c r="I21" i="15"/>
  <c r="I20" i="15"/>
  <c r="I19" i="15"/>
  <c r="I18" i="15"/>
  <c r="I17" i="15"/>
  <c r="I16" i="15"/>
  <c r="I15" i="15"/>
  <c r="I14" i="15"/>
  <c r="I13" i="15"/>
  <c r="I12" i="15"/>
  <c r="I11" i="15"/>
  <c r="F6" i="10"/>
  <c r="F8" i="10"/>
  <c r="F9" i="10"/>
  <c r="F10" i="10"/>
  <c r="F11" i="10"/>
  <c r="F7" i="10"/>
  <c r="F12" i="10"/>
  <c r="F13" i="10"/>
  <c r="F5" i="10"/>
  <c r="F4" i="10"/>
  <c r="F3" i="10"/>
  <c r="F2" i="10"/>
  <c r="I10" i="15"/>
  <c r="I9" i="15"/>
  <c r="I8" i="15"/>
  <c r="I7" i="15"/>
  <c r="I6" i="15"/>
  <c r="I5" i="15"/>
  <c r="I4" i="15"/>
  <c r="I3" i="15"/>
  <c r="I2" i="15"/>
  <c r="I33" i="15"/>
  <c r="I32" i="15"/>
  <c r="I31" i="15"/>
  <c r="I30" i="15"/>
  <c r="I28" i="15"/>
  <c r="I27" i="15"/>
  <c r="I26" i="15"/>
  <c r="G7" i="9" l="1"/>
  <c r="AG20" i="1" l="1"/>
  <c r="B8" i="3" l="1"/>
  <c r="B9" i="3"/>
  <c r="B10" i="3"/>
  <c r="B11" i="3"/>
  <c r="B23" i="3"/>
  <c r="B6" i="17" s="1"/>
  <c r="B13" i="3"/>
  <c r="B14" i="3"/>
  <c r="M7" i="7" s="1"/>
  <c r="B15" i="3"/>
  <c r="N7" i="7" s="1"/>
  <c r="B16" i="3"/>
  <c r="B17" i="3"/>
  <c r="B18" i="3"/>
  <c r="B7" i="17" s="1"/>
  <c r="B19" i="3"/>
  <c r="B8" i="17" s="1"/>
  <c r="B9" i="17"/>
  <c r="B21" i="3"/>
  <c r="B10" i="17" s="1"/>
  <c r="B22" i="3"/>
  <c r="B11" i="17" s="1"/>
  <c r="B24" i="3"/>
  <c r="B41" i="3"/>
  <c r="B42" i="3"/>
  <c r="B43" i="3"/>
  <c r="B44" i="3"/>
  <c r="B45" i="3"/>
  <c r="B46" i="3"/>
  <c r="B47" i="3"/>
  <c r="B48" i="3"/>
  <c r="B49" i="3"/>
  <c r="B50" i="3"/>
  <c r="B51" i="3"/>
  <c r="B52" i="3"/>
  <c r="P5" i="6" s="1"/>
  <c r="B53" i="3"/>
  <c r="P14" i="6" s="1"/>
  <c r="B54" i="3"/>
  <c r="P19" i="6" s="1"/>
  <c r="B55" i="3"/>
  <c r="P22" i="6" s="1"/>
  <c r="B56" i="3"/>
  <c r="P24" i="6" s="1"/>
  <c r="B57" i="3"/>
  <c r="B58" i="3"/>
  <c r="B59" i="3"/>
  <c r="B60" i="3"/>
  <c r="B61" i="3"/>
  <c r="B62" i="3"/>
  <c r="B64" i="3"/>
  <c r="E2" i="1" s="1"/>
  <c r="B65" i="3"/>
  <c r="E3" i="1" s="1"/>
  <c r="B66" i="3"/>
  <c r="E4" i="1" s="1"/>
  <c r="B67" i="3"/>
  <c r="E5" i="1" s="1"/>
  <c r="B68" i="3"/>
  <c r="E6" i="1" s="1"/>
  <c r="B69" i="3"/>
  <c r="E7" i="1" s="1"/>
  <c r="B70" i="3"/>
  <c r="E8" i="1" s="1"/>
  <c r="B71" i="3"/>
  <c r="E9" i="1" s="1"/>
  <c r="B72" i="3"/>
  <c r="E10" i="1" s="1"/>
  <c r="B73" i="3"/>
  <c r="E11" i="1" s="1"/>
  <c r="B74" i="3"/>
  <c r="E12" i="1" s="1"/>
  <c r="B75" i="3"/>
  <c r="E13" i="1" s="1"/>
  <c r="B76" i="3"/>
  <c r="E14" i="1" s="1"/>
  <c r="B77" i="3"/>
  <c r="E15" i="1" s="1"/>
  <c r="B78" i="3"/>
  <c r="E16" i="1" s="1"/>
  <c r="B79" i="3"/>
  <c r="E17" i="1" s="1"/>
  <c r="B80" i="3"/>
  <c r="E18" i="1" s="1"/>
  <c r="B81" i="3"/>
  <c r="E19" i="1" s="1"/>
  <c r="B82" i="3"/>
  <c r="E20" i="1" s="1"/>
  <c r="B83" i="3"/>
  <c r="E21" i="1" s="1"/>
  <c r="B84" i="3"/>
  <c r="E22" i="1" s="1"/>
  <c r="B85" i="3"/>
  <c r="E23" i="1" s="1"/>
  <c r="B86" i="3"/>
  <c r="E24" i="1" s="1"/>
  <c r="B87" i="3"/>
  <c r="E25" i="1" s="1"/>
  <c r="B88" i="3"/>
  <c r="E26" i="1" s="1"/>
  <c r="B89" i="3"/>
  <c r="E27" i="1" s="1"/>
  <c r="B90" i="3"/>
  <c r="E28" i="1" s="1"/>
  <c r="B91" i="3"/>
  <c r="E29" i="1" s="1"/>
  <c r="B92" i="3"/>
  <c r="E30" i="1" s="1"/>
  <c r="B93" i="3"/>
  <c r="E31" i="1" s="1"/>
  <c r="B94" i="3"/>
  <c r="E32" i="1" s="1"/>
  <c r="B95" i="3"/>
  <c r="E33" i="1" s="1"/>
  <c r="B4" i="3"/>
  <c r="B3" i="7" l="1"/>
  <c r="P3" i="6"/>
  <c r="B3" i="17"/>
  <c r="M5" i="9"/>
  <c r="L5" i="9"/>
  <c r="AD11" i="14"/>
  <c r="A4" i="14"/>
  <c r="AA22" i="1"/>
  <c r="AA23" i="1"/>
  <c r="AA24" i="1"/>
  <c r="AA25" i="1"/>
  <c r="AA26" i="1"/>
  <c r="AA27" i="1"/>
  <c r="P3" i="2"/>
  <c r="AD5" i="2"/>
  <c r="AB7" i="1" l="1"/>
  <c r="AB3" i="1"/>
  <c r="AB4" i="1"/>
  <c r="AB5" i="1"/>
  <c r="AB6" i="1"/>
  <c r="AB2" i="1"/>
  <c r="M10" i="6"/>
  <c r="M17" i="6"/>
  <c r="M15" i="9" l="1"/>
  <c r="AO14" i="6"/>
  <c r="AQ20" i="6"/>
  <c r="AQ12" i="6"/>
  <c r="AO19" i="6"/>
  <c r="AO11" i="6"/>
  <c r="D1" i="12" l="1"/>
  <c r="A1" i="12"/>
  <c r="A7" i="12" l="1"/>
  <c r="AA11" i="2" s="1"/>
  <c r="V11" i="2" s="1"/>
  <c r="A15" i="12"/>
  <c r="AA19" i="2" s="1"/>
  <c r="V19" i="2" s="1"/>
  <c r="A23" i="12"/>
  <c r="AA27" i="2" s="1"/>
  <c r="V27" i="2" s="1"/>
  <c r="A31" i="12"/>
  <c r="AA35" i="2" s="1"/>
  <c r="V35" i="2" s="1"/>
  <c r="A39" i="12"/>
  <c r="AA43" i="2" s="1"/>
  <c r="V43" i="2" s="1"/>
  <c r="A47" i="12"/>
  <c r="AA51" i="2" s="1"/>
  <c r="V51" i="2" s="1"/>
  <c r="A55" i="12"/>
  <c r="AA11" i="6" s="1"/>
  <c r="V11" i="6" s="1"/>
  <c r="A65" i="12"/>
  <c r="AA21" i="6" s="1"/>
  <c r="V21" i="6" s="1"/>
  <c r="A8" i="12"/>
  <c r="AA12" i="2" s="1"/>
  <c r="V12" i="2" s="1"/>
  <c r="A16" i="12"/>
  <c r="AA20" i="2" s="1"/>
  <c r="V20" i="2" s="1"/>
  <c r="A24" i="12"/>
  <c r="AA28" i="2" s="1"/>
  <c r="V28" i="2" s="1"/>
  <c r="A32" i="12"/>
  <c r="AA36" i="2" s="1"/>
  <c r="V36" i="2" s="1"/>
  <c r="A40" i="12"/>
  <c r="AA44" i="2" s="1"/>
  <c r="V44" i="2" s="1"/>
  <c r="A48" i="12"/>
  <c r="AA52" i="2" s="1"/>
  <c r="V52" i="2" s="1"/>
  <c r="A56" i="12"/>
  <c r="AA12" i="6" s="1"/>
  <c r="V12" i="6" s="1"/>
  <c r="A67" i="12"/>
  <c r="AA23" i="6" s="1"/>
  <c r="V23" i="6" s="1"/>
  <c r="A3" i="12"/>
  <c r="AA7" i="2" s="1"/>
  <c r="V7" i="2" s="1"/>
  <c r="A11" i="12"/>
  <c r="AA15" i="2" s="1"/>
  <c r="V15" i="2" s="1"/>
  <c r="A27" i="12"/>
  <c r="AA31" i="2" s="1"/>
  <c r="V31" i="2" s="1"/>
  <c r="A43" i="12"/>
  <c r="AA47" i="2" s="1"/>
  <c r="V47" i="2" s="1"/>
  <c r="A60" i="12"/>
  <c r="AA16" i="6" s="1"/>
  <c r="V16" i="6" s="1"/>
  <c r="A12" i="12"/>
  <c r="AA16" i="2" s="1"/>
  <c r="V16" i="2" s="1"/>
  <c r="A28" i="12"/>
  <c r="AA32" i="2" s="1"/>
  <c r="V32" i="2" s="1"/>
  <c r="A44" i="12"/>
  <c r="AA48" i="2" s="1"/>
  <c r="V48" i="2" s="1"/>
  <c r="A61" i="12"/>
  <c r="AA17" i="6" s="1"/>
  <c r="V17" i="6" s="1"/>
  <c r="A5" i="12"/>
  <c r="AA9" i="2" s="1"/>
  <c r="V9" i="2" s="1"/>
  <c r="A21" i="12"/>
  <c r="AA25" i="2" s="1"/>
  <c r="V25" i="2" s="1"/>
  <c r="A37" i="12"/>
  <c r="AA41" i="2" s="1"/>
  <c r="V41" i="2" s="1"/>
  <c r="A53" i="12"/>
  <c r="AA9" i="6" s="1"/>
  <c r="V9" i="6" s="1"/>
  <c r="A6" i="12"/>
  <c r="AA10" i="2" s="1"/>
  <c r="V10" i="2" s="1"/>
  <c r="A22" i="12"/>
  <c r="AA26" i="2" s="1"/>
  <c r="V26" i="2" s="1"/>
  <c r="A38" i="12"/>
  <c r="AA42" i="2" s="1"/>
  <c r="V42" i="2" s="1"/>
  <c r="A54" i="12"/>
  <c r="AA10" i="6" s="1"/>
  <c r="V10" i="6" s="1"/>
  <c r="A9" i="12"/>
  <c r="AA13" i="2" s="1"/>
  <c r="V13" i="2" s="1"/>
  <c r="A17" i="12"/>
  <c r="AA21" i="2" s="1"/>
  <c r="V21" i="2" s="1"/>
  <c r="A25" i="12"/>
  <c r="AA29" i="2" s="1"/>
  <c r="V29" i="2" s="1"/>
  <c r="A33" i="12"/>
  <c r="AA37" i="2" s="1"/>
  <c r="V37" i="2" s="1"/>
  <c r="A41" i="12"/>
  <c r="AA45" i="2" s="1"/>
  <c r="V45" i="2" s="1"/>
  <c r="A49" i="12"/>
  <c r="AA53" i="2" s="1"/>
  <c r="V53" i="2" s="1"/>
  <c r="A57" i="12"/>
  <c r="AA13" i="6" s="1"/>
  <c r="V13" i="6" s="1"/>
  <c r="A69" i="12"/>
  <c r="AA25" i="6" s="1"/>
  <c r="V25" i="6" s="1"/>
  <c r="A10" i="12"/>
  <c r="AA14" i="2" s="1"/>
  <c r="V14" i="2" s="1"/>
  <c r="A18" i="12"/>
  <c r="AA22" i="2" s="1"/>
  <c r="V22" i="2" s="1"/>
  <c r="A26" i="12"/>
  <c r="AA30" i="2" s="1"/>
  <c r="V30" i="2" s="1"/>
  <c r="A34" i="12"/>
  <c r="AA38" i="2" s="1"/>
  <c r="V38" i="2" s="1"/>
  <c r="A42" i="12"/>
  <c r="AA46" i="2" s="1"/>
  <c r="V46" i="2" s="1"/>
  <c r="A50" i="12"/>
  <c r="AA6" i="6" s="1"/>
  <c r="V6" i="6" s="1"/>
  <c r="W6" i="6" s="1"/>
  <c r="A59" i="12"/>
  <c r="AA15" i="6" s="1"/>
  <c r="V15" i="6" s="1"/>
  <c r="A2" i="12"/>
  <c r="AA6" i="2" s="1"/>
  <c r="V6" i="2" s="1"/>
  <c r="W6" i="2" s="1"/>
  <c r="A19" i="12"/>
  <c r="AA23" i="2" s="1"/>
  <c r="V23" i="2" s="1"/>
  <c r="A35" i="12"/>
  <c r="AA39" i="2" s="1"/>
  <c r="V39" i="2" s="1"/>
  <c r="A51" i="12"/>
  <c r="AA7" i="6" s="1"/>
  <c r="V7" i="6" s="1"/>
  <c r="A4" i="12"/>
  <c r="AA8" i="2" s="1"/>
  <c r="V8" i="2" s="1"/>
  <c r="A20" i="12"/>
  <c r="AA24" i="2" s="1"/>
  <c r="V24" i="2" s="1"/>
  <c r="A36" i="12"/>
  <c r="AA40" i="2" s="1"/>
  <c r="V40" i="2" s="1"/>
  <c r="A52" i="12"/>
  <c r="AA8" i="6" s="1"/>
  <c r="V8" i="6" s="1"/>
  <c r="A13" i="12"/>
  <c r="AA17" i="2" s="1"/>
  <c r="V17" i="2" s="1"/>
  <c r="A29" i="12"/>
  <c r="AA33" i="2" s="1"/>
  <c r="V33" i="2" s="1"/>
  <c r="A45" i="12"/>
  <c r="AA49" i="2" s="1"/>
  <c r="V49" i="2" s="1"/>
  <c r="A62" i="12"/>
  <c r="AA18" i="6" s="1"/>
  <c r="V18" i="6" s="1"/>
  <c r="A14" i="12"/>
  <c r="AA18" i="2" s="1"/>
  <c r="V18" i="2" s="1"/>
  <c r="A30" i="12"/>
  <c r="AA34" i="2" s="1"/>
  <c r="V34" i="2" s="1"/>
  <c r="A46" i="12"/>
  <c r="AA50" i="2" s="1"/>
  <c r="V50" i="2" s="1"/>
  <c r="A64" i="12"/>
  <c r="AA20" i="6" s="1"/>
  <c r="V20" i="6" s="1"/>
  <c r="X21" i="1"/>
  <c r="W8" i="6" l="1"/>
  <c r="W7" i="6"/>
  <c r="W17" i="2"/>
  <c r="W25" i="6"/>
  <c r="W10" i="6"/>
  <c r="W17" i="6"/>
  <c r="W13" i="6"/>
  <c r="W23" i="6"/>
  <c r="W21" i="6"/>
  <c r="W26" i="2"/>
  <c r="W32" i="2"/>
  <c r="W12" i="6"/>
  <c r="W11" i="6"/>
  <c r="W20" i="6"/>
  <c r="W10" i="2"/>
  <c r="W16" i="2"/>
  <c r="W7" i="2"/>
  <c r="W24" i="2"/>
  <c r="W18" i="2"/>
  <c r="W38" i="2"/>
  <c r="W16" i="6"/>
  <c r="W34" i="2"/>
  <c r="W8" i="2"/>
  <c r="W37" i="2"/>
  <c r="W9" i="6"/>
  <c r="W18" i="6"/>
  <c r="W30" i="2"/>
  <c r="W29" i="2"/>
  <c r="W36" i="2"/>
  <c r="W35" i="2"/>
  <c r="W28" i="2"/>
  <c r="W15" i="6"/>
  <c r="W39" i="2"/>
  <c r="W22" i="2"/>
  <c r="W21" i="2"/>
  <c r="W25" i="2"/>
  <c r="W31" i="2"/>
  <c r="W27" i="2"/>
  <c r="W33" i="2"/>
  <c r="W23" i="2"/>
  <c r="W14" i="2"/>
  <c r="W13" i="2"/>
  <c r="W9" i="2"/>
  <c r="W15" i="2"/>
  <c r="W20" i="2"/>
  <c r="W19" i="2"/>
  <c r="W12" i="2"/>
  <c r="W11" i="2"/>
  <c r="W51" i="2"/>
  <c r="W50" i="2"/>
  <c r="W52" i="2"/>
  <c r="W46" i="2"/>
  <c r="W49" i="2"/>
  <c r="W42" i="2"/>
  <c r="W44" i="2"/>
  <c r="W43" i="2"/>
  <c r="W47" i="2"/>
  <c r="W53" i="2"/>
  <c r="W41" i="2"/>
  <c r="W40" i="2"/>
  <c r="W48" i="2"/>
  <c r="W45" i="2"/>
  <c r="AC6" i="14"/>
  <c r="AL16" i="6"/>
  <c r="AL15" i="6"/>
  <c r="AT16" i="6"/>
  <c r="AT15" i="6"/>
  <c r="AX20" i="6"/>
  <c r="AX19" i="6"/>
  <c r="AX12" i="6"/>
  <c r="AX11" i="6"/>
  <c r="BB22" i="6"/>
  <c r="BB21" i="6"/>
  <c r="L19" i="6"/>
  <c r="BB18" i="6"/>
  <c r="BB17" i="6"/>
  <c r="BB14" i="6"/>
  <c r="BB13" i="6"/>
  <c r="BB10" i="6"/>
  <c r="BB9" i="6"/>
  <c r="X41" i="2" l="1"/>
  <c r="X46" i="2"/>
  <c r="X16" i="2"/>
  <c r="X29" i="2"/>
  <c r="X9" i="2"/>
  <c r="X34" i="2"/>
  <c r="X33" i="2"/>
  <c r="X30" i="2"/>
  <c r="X10" i="2"/>
  <c r="X12" i="2"/>
  <c r="X18" i="2"/>
  <c r="X38" i="2"/>
  <c r="X37" i="2"/>
  <c r="X20" i="2"/>
  <c r="X13" i="2"/>
  <c r="X35" i="2"/>
  <c r="X19" i="2"/>
  <c r="X11" i="2"/>
  <c r="X24" i="2"/>
  <c r="X15" i="2"/>
  <c r="X40" i="2"/>
  <c r="X7" i="2"/>
  <c r="X23" i="2"/>
  <c r="X28" i="2"/>
  <c r="X32" i="2"/>
  <c r="X21" i="2"/>
  <c r="X27" i="2"/>
  <c r="X22" i="2"/>
  <c r="X25" i="2"/>
  <c r="X39" i="2"/>
  <c r="X6" i="2"/>
  <c r="X36" i="2"/>
  <c r="X8" i="2"/>
  <c r="X31" i="2"/>
  <c r="X14" i="2"/>
  <c r="X17" i="2"/>
  <c r="X26" i="2"/>
  <c r="X52" i="2"/>
  <c r="X51" i="2"/>
  <c r="X43" i="2"/>
  <c r="X44" i="2"/>
  <c r="X53" i="2"/>
  <c r="X47" i="2"/>
  <c r="X45" i="2"/>
  <c r="X42" i="2"/>
  <c r="X50" i="2"/>
  <c r="X48" i="2"/>
  <c r="X49" i="2"/>
  <c r="AH20" i="6"/>
  <c r="AH19" i="6"/>
  <c r="AH12" i="6"/>
  <c r="AH11" i="6"/>
  <c r="AD22" i="6"/>
  <c r="AD21" i="6"/>
  <c r="AD18" i="6"/>
  <c r="AD17" i="6"/>
  <c r="AD14" i="6"/>
  <c r="AD13" i="6"/>
  <c r="AD10" i="6"/>
  <c r="AD9" i="6"/>
  <c r="F6" i="16" l="1"/>
  <c r="F4" i="16"/>
  <c r="F5" i="16"/>
  <c r="G15" i="9"/>
  <c r="P5" i="2"/>
  <c r="AA5" i="14"/>
  <c r="L15" i="9"/>
  <c r="Z5" i="14"/>
  <c r="P5" i="14"/>
  <c r="AA5" i="6"/>
  <c r="Z5" i="6"/>
  <c r="Z24" i="6" s="1"/>
  <c r="M24" i="6" s="1"/>
  <c r="AA5" i="2"/>
  <c r="Z5" i="2"/>
  <c r="AA14" i="1"/>
  <c r="AA18" i="1" l="1"/>
  <c r="AA19" i="1"/>
  <c r="AA20" i="1"/>
  <c r="AA17" i="1"/>
  <c r="AA21" i="1"/>
  <c r="AA15" i="1"/>
  <c r="AA16" i="1"/>
  <c r="AD5" i="14"/>
  <c r="AA22" i="6"/>
  <c r="AA24" i="6"/>
  <c r="AA14" i="6"/>
  <c r="AA19" i="6"/>
  <c r="Z14" i="6"/>
  <c r="Z22" i="6"/>
  <c r="M22" i="6" s="1"/>
  <c r="AD43" i="2"/>
  <c r="AD49" i="2"/>
  <c r="AD31" i="2"/>
  <c r="AD37" i="2"/>
  <c r="AD7" i="2"/>
  <c r="AD25" i="2"/>
  <c r="AD13" i="2"/>
  <c r="AD19" i="2"/>
  <c r="AA28" i="1" l="1"/>
  <c r="Z19" i="6"/>
  <c r="M19" i="6" s="1"/>
  <c r="M14" i="6"/>
  <c r="P4" i="14"/>
  <c r="Q4" i="14"/>
  <c r="R4" i="14"/>
  <c r="S4" i="14"/>
  <c r="T4" i="14"/>
  <c r="U4" i="14"/>
  <c r="Y4" i="14"/>
  <c r="Z4" i="14"/>
  <c r="AA4" i="14"/>
  <c r="O4" i="14"/>
  <c r="X23" i="6" l="1"/>
  <c r="X16" i="6"/>
  <c r="X20" i="6"/>
  <c r="X21" i="6"/>
  <c r="X6" i="6"/>
  <c r="X15" i="6"/>
  <c r="X12" i="6"/>
  <c r="X11" i="6"/>
  <c r="X8" i="6"/>
  <c r="X10" i="6"/>
  <c r="X9" i="6"/>
  <c r="X13" i="6"/>
  <c r="X7" i="6"/>
  <c r="X18" i="6"/>
  <c r="X25" i="6"/>
  <c r="X17" i="6"/>
  <c r="AC7" i="14"/>
  <c r="AC8" i="14"/>
  <c r="AC9" i="14"/>
  <c r="A5" i="14"/>
  <c r="U16" i="14"/>
  <c r="K16" i="14"/>
  <c r="U15" i="14"/>
  <c r="K15" i="14"/>
  <c r="U14" i="14"/>
  <c r="K14" i="14"/>
  <c r="U13" i="14"/>
  <c r="K13" i="14"/>
  <c r="U12" i="14"/>
  <c r="K12" i="14"/>
  <c r="F12" i="16" l="1"/>
  <c r="F13" i="16"/>
  <c r="F14" i="16"/>
  <c r="D11" i="14"/>
  <c r="D10" i="14"/>
  <c r="D9" i="14"/>
  <c r="D8" i="14"/>
  <c r="D7" i="14"/>
  <c r="D6" i="14"/>
  <c r="I6" i="14" s="1"/>
  <c r="E6" i="14" s="1"/>
  <c r="B6" i="14" s="1"/>
  <c r="G5" i="9"/>
  <c r="M7" i="2"/>
  <c r="M14" i="2"/>
  <c r="M27" i="2"/>
  <c r="M39" i="2"/>
  <c r="M53" i="2"/>
  <c r="M6" i="2"/>
  <c r="M6" i="6"/>
  <c r="M7" i="6" l="1"/>
  <c r="M8" i="2"/>
  <c r="M8" i="6"/>
  <c r="F6" i="14"/>
  <c r="C6" i="14" s="1"/>
  <c r="I7" i="14"/>
  <c r="I11" i="14"/>
  <c r="I8" i="14"/>
  <c r="I9" i="14"/>
  <c r="I10" i="14"/>
  <c r="L22" i="6"/>
  <c r="L24" i="6"/>
  <c r="G6" i="9" l="1"/>
  <c r="AC3" i="14"/>
  <c r="L5" i="7"/>
  <c r="M11" i="2"/>
  <c r="M9" i="2"/>
  <c r="M9" i="6"/>
  <c r="M17" i="2"/>
  <c r="F8" i="14"/>
  <c r="C8" i="14" s="1"/>
  <c r="E8" i="14"/>
  <c r="B8" i="14" s="1"/>
  <c r="E7" i="14"/>
  <c r="B7" i="14" s="1"/>
  <c r="F7" i="14"/>
  <c r="J23" i="6"/>
  <c r="M13" i="2" l="1"/>
  <c r="M10" i="2"/>
  <c r="M18" i="2"/>
  <c r="M11" i="6"/>
  <c r="M12" i="6"/>
  <c r="M28" i="2"/>
  <c r="K23" i="6"/>
  <c r="AG5" i="6"/>
  <c r="AX5" i="6"/>
  <c r="AC5" i="6"/>
  <c r="BB5" i="6"/>
  <c r="AK5" i="6"/>
  <c r="AT5" i="6"/>
  <c r="C7" i="14"/>
  <c r="F9" i="14"/>
  <c r="C9" i="14" s="1"/>
  <c r="E9" i="14"/>
  <c r="B9" i="14" s="1"/>
  <c r="G7" i="7"/>
  <c r="J7" i="6"/>
  <c r="J8" i="6"/>
  <c r="J9" i="6"/>
  <c r="J10" i="6"/>
  <c r="J11" i="6"/>
  <c r="J12" i="6"/>
  <c r="J13" i="6"/>
  <c r="J15" i="6"/>
  <c r="J16" i="6"/>
  <c r="K16" i="6" s="1"/>
  <c r="J17" i="6"/>
  <c r="K17" i="6" s="1"/>
  <c r="J20" i="6"/>
  <c r="J21" i="6"/>
  <c r="K21" i="6" s="1"/>
  <c r="J25" i="6"/>
  <c r="K25" i="6" s="1"/>
  <c r="J6" i="6"/>
  <c r="U6" i="6" s="1"/>
  <c r="I6" i="6"/>
  <c r="H6" i="6"/>
  <c r="M12" i="2" l="1"/>
  <c r="M16" i="2" s="1"/>
  <c r="M15" i="2"/>
  <c r="M13" i="6"/>
  <c r="M15" i="6"/>
  <c r="M16" i="6" s="1"/>
  <c r="U18" i="6"/>
  <c r="K15" i="6"/>
  <c r="K13" i="6"/>
  <c r="K12" i="6"/>
  <c r="K11" i="6"/>
  <c r="U10" i="6"/>
  <c r="K9" i="6"/>
  <c r="K8" i="6"/>
  <c r="K7" i="6"/>
  <c r="F10" i="14"/>
  <c r="C10" i="14" s="1"/>
  <c r="E10" i="14"/>
  <c r="B10" i="14" s="1"/>
  <c r="K20" i="6"/>
  <c r="U25" i="6"/>
  <c r="U17" i="6"/>
  <c r="U16" i="6"/>
  <c r="U15" i="6"/>
  <c r="U13" i="6"/>
  <c r="U11" i="6"/>
  <c r="U7" i="6"/>
  <c r="U21" i="6"/>
  <c r="U20" i="6"/>
  <c r="U9" i="6"/>
  <c r="U8" i="6"/>
  <c r="U12" i="6"/>
  <c r="K10" i="6"/>
  <c r="K6" i="6"/>
  <c r="AG3" i="1"/>
  <c r="AG4" i="1"/>
  <c r="AG5" i="1"/>
  <c r="AG6" i="1"/>
  <c r="AG7" i="1"/>
  <c r="AG8" i="1"/>
  <c r="AG9" i="1"/>
  <c r="AG10" i="1"/>
  <c r="AG11" i="1"/>
  <c r="AG12" i="1"/>
  <c r="AG13" i="1"/>
  <c r="AG14" i="1"/>
  <c r="AG15" i="1"/>
  <c r="AG16" i="1"/>
  <c r="AG17" i="1"/>
  <c r="AG2" i="1"/>
  <c r="K54" i="2"/>
  <c r="U54" i="2"/>
  <c r="K55" i="2"/>
  <c r="U55" i="2"/>
  <c r="K56" i="2"/>
  <c r="U56" i="2"/>
  <c r="K57" i="2"/>
  <c r="U57" i="2"/>
  <c r="K58" i="2"/>
  <c r="U58" i="2"/>
  <c r="M19" i="2" l="1"/>
  <c r="M20" i="2"/>
  <c r="M18" i="6"/>
  <c r="M20" i="6" s="1"/>
  <c r="M35" i="2"/>
  <c r="AF5" i="14"/>
  <c r="AJ7" i="2"/>
  <c r="AJ13" i="2" s="1"/>
  <c r="AJ5" i="14"/>
  <c r="AI7" i="2"/>
  <c r="AI13" i="2" s="1"/>
  <c r="AI5" i="14"/>
  <c r="AH7" i="2"/>
  <c r="AH13" i="2" s="1"/>
  <c r="AH5" i="14"/>
  <c r="AG7" i="2"/>
  <c r="AG13" i="2" s="1"/>
  <c r="AG5" i="14"/>
  <c r="AL7" i="2"/>
  <c r="AL13" i="2" s="1"/>
  <c r="AL5" i="14"/>
  <c r="F11" i="14"/>
  <c r="C11" i="14" s="1"/>
  <c r="E11" i="14"/>
  <c r="B11" i="14" s="1"/>
  <c r="AK7" i="2"/>
  <c r="AK13" i="2" s="1"/>
  <c r="AK5" i="14"/>
  <c r="AM7" i="2"/>
  <c r="AM13" i="2" s="1"/>
  <c r="AM5" i="14"/>
  <c r="AF7" i="2"/>
  <c r="AF13" i="2" s="1"/>
  <c r="M21" i="6" l="1"/>
  <c r="M25" i="6" s="1"/>
  <c r="M21" i="2"/>
  <c r="M32" i="2"/>
  <c r="M25" i="2"/>
  <c r="M23" i="6"/>
  <c r="AL25" i="2"/>
  <c r="AL31" i="2"/>
  <c r="AI25" i="2"/>
  <c r="AH31" i="2"/>
  <c r="AH43" i="2"/>
  <c r="AG37" i="2"/>
  <c r="AG25" i="2"/>
  <c r="AL19" i="2"/>
  <c r="AM31" i="2"/>
  <c r="AK43" i="2"/>
  <c r="AG43" i="2"/>
  <c r="AM37" i="2"/>
  <c r="AJ31" i="2"/>
  <c r="AG49" i="2"/>
  <c r="AG19" i="2"/>
  <c r="AH25" i="2"/>
  <c r="AI43" i="2"/>
  <c r="AI31" i="2"/>
  <c r="AI19" i="2"/>
  <c r="AM49" i="2"/>
  <c r="AI37" i="2"/>
  <c r="AI49" i="2"/>
  <c r="AJ37" i="2"/>
  <c r="AJ49" i="2"/>
  <c r="AM19" i="2"/>
  <c r="AH49" i="2"/>
  <c r="AM25" i="2"/>
  <c r="AM43" i="2"/>
  <c r="AJ19" i="2"/>
  <c r="AK25" i="2"/>
  <c r="AJ43" i="2"/>
  <c r="AH19" i="2"/>
  <c r="AK31" i="2"/>
  <c r="AG31" i="2"/>
  <c r="AL43" i="2"/>
  <c r="AL49" i="2"/>
  <c r="AK19" i="2"/>
  <c r="AJ25" i="2"/>
  <c r="AL37" i="2"/>
  <c r="AK37" i="2"/>
  <c r="AH37" i="2"/>
  <c r="AK49" i="2"/>
  <c r="AF37" i="2"/>
  <c r="AF25" i="2"/>
  <c r="AF19" i="2"/>
  <c r="AF31" i="2"/>
  <c r="AF49" i="2"/>
  <c r="AF43" i="2"/>
  <c r="A5" i="9" l="1"/>
  <c r="M22" i="2"/>
  <c r="M23" i="2"/>
  <c r="M30" i="2"/>
  <c r="M41" i="2"/>
  <c r="M34" i="2"/>
  <c r="M46" i="2"/>
  <c r="M37" i="2"/>
  <c r="M42" i="2"/>
  <c r="B3" i="5"/>
  <c r="C3" i="5"/>
  <c r="M26" i="2" l="1"/>
  <c r="M29" i="2" s="1"/>
  <c r="M33" i="2"/>
  <c r="M24" i="2"/>
  <c r="M31" i="2"/>
  <c r="M44" i="2"/>
  <c r="M47" i="2"/>
  <c r="V28" i="1"/>
  <c r="M36" i="2" l="1"/>
  <c r="M50" i="2"/>
  <c r="J7" i="2"/>
  <c r="K7" i="2" s="1"/>
  <c r="J8" i="2"/>
  <c r="K8" i="2" s="1"/>
  <c r="J9" i="2"/>
  <c r="K9" i="2" s="1"/>
  <c r="J10" i="2"/>
  <c r="U10" i="2" s="1"/>
  <c r="J11" i="2"/>
  <c r="K11" i="2" s="1"/>
  <c r="J12" i="2"/>
  <c r="K12" i="2" s="1"/>
  <c r="J13" i="2"/>
  <c r="K13" i="2" s="1"/>
  <c r="J14" i="2"/>
  <c r="U14" i="2" s="1"/>
  <c r="J15" i="2"/>
  <c r="K15" i="2" s="1"/>
  <c r="J16" i="2"/>
  <c r="K16" i="2" s="1"/>
  <c r="J17" i="2"/>
  <c r="K17" i="2" s="1"/>
  <c r="J18" i="2"/>
  <c r="U18" i="2" s="1"/>
  <c r="J19" i="2"/>
  <c r="K19" i="2" s="1"/>
  <c r="J20" i="2"/>
  <c r="K20" i="2" s="1"/>
  <c r="J21" i="2"/>
  <c r="K21" i="2" s="1"/>
  <c r="J22" i="2"/>
  <c r="U22" i="2" s="1"/>
  <c r="J23" i="2"/>
  <c r="K23" i="2" s="1"/>
  <c r="J24" i="2"/>
  <c r="K24" i="2" s="1"/>
  <c r="J25" i="2"/>
  <c r="K25" i="2" s="1"/>
  <c r="J26" i="2"/>
  <c r="U26" i="2" s="1"/>
  <c r="J27" i="2"/>
  <c r="K27" i="2" s="1"/>
  <c r="J28" i="2"/>
  <c r="K28" i="2" s="1"/>
  <c r="J29" i="2"/>
  <c r="K29" i="2" s="1"/>
  <c r="J30" i="2"/>
  <c r="U30" i="2" s="1"/>
  <c r="J31" i="2"/>
  <c r="K31" i="2" s="1"/>
  <c r="J32" i="2"/>
  <c r="K32" i="2" s="1"/>
  <c r="J33" i="2"/>
  <c r="K33" i="2" s="1"/>
  <c r="J34" i="2"/>
  <c r="U34" i="2" s="1"/>
  <c r="J35" i="2"/>
  <c r="K35" i="2" s="1"/>
  <c r="J36" i="2"/>
  <c r="K36" i="2" s="1"/>
  <c r="J37" i="2"/>
  <c r="K37" i="2" s="1"/>
  <c r="J38" i="2"/>
  <c r="U38" i="2" s="1"/>
  <c r="J39" i="2"/>
  <c r="K39" i="2" s="1"/>
  <c r="J40" i="2"/>
  <c r="K40" i="2" s="1"/>
  <c r="J41" i="2"/>
  <c r="K41" i="2" s="1"/>
  <c r="J42" i="2"/>
  <c r="U42" i="2" s="1"/>
  <c r="J43" i="2"/>
  <c r="K43" i="2" s="1"/>
  <c r="J44" i="2"/>
  <c r="K44" i="2" s="1"/>
  <c r="J45" i="2"/>
  <c r="K45" i="2" s="1"/>
  <c r="J46" i="2"/>
  <c r="U46" i="2" s="1"/>
  <c r="J47" i="2"/>
  <c r="K47" i="2" s="1"/>
  <c r="J48" i="2"/>
  <c r="K48" i="2" s="1"/>
  <c r="J49" i="2"/>
  <c r="K49" i="2" s="1"/>
  <c r="J50" i="2"/>
  <c r="K50" i="2" s="1"/>
  <c r="J51" i="2"/>
  <c r="K51" i="2" s="1"/>
  <c r="J52" i="2"/>
  <c r="K52" i="2" s="1"/>
  <c r="J53" i="2"/>
  <c r="K53" i="2" s="1"/>
  <c r="I6" i="2"/>
  <c r="N6" i="2" s="1"/>
  <c r="W14" i="1"/>
  <c r="X14" i="1" s="1"/>
  <c r="V15" i="1"/>
  <c r="V16" i="1" s="1"/>
  <c r="Z28" i="1"/>
  <c r="Z3" i="1" s="1"/>
  <c r="Z4" i="1" s="1"/>
  <c r="Z5" i="1" s="1"/>
  <c r="Z6" i="1" s="1"/>
  <c r="Z7" i="1" s="1"/>
  <c r="Z8" i="1" s="1"/>
  <c r="Z9" i="1" s="1"/>
  <c r="Z10" i="1" s="1"/>
  <c r="Z11" i="1" s="1"/>
  <c r="M48" i="2" l="1"/>
  <c r="M49" i="2" s="1"/>
  <c r="M38" i="2"/>
  <c r="M52" i="2"/>
  <c r="M51" i="2"/>
  <c r="U13" i="2"/>
  <c r="U47" i="2"/>
  <c r="U17" i="2"/>
  <c r="U11" i="2"/>
  <c r="K22" i="2"/>
  <c r="U43" i="2"/>
  <c r="K38" i="2"/>
  <c r="U39" i="2"/>
  <c r="U9" i="2"/>
  <c r="U51" i="2"/>
  <c r="K46" i="2"/>
  <c r="U41" i="2"/>
  <c r="U15" i="2"/>
  <c r="U50" i="2"/>
  <c r="U45" i="2"/>
  <c r="U19" i="2"/>
  <c r="U7" i="2"/>
  <c r="U37" i="2"/>
  <c r="K42" i="2"/>
  <c r="K18" i="2"/>
  <c r="K14" i="2"/>
  <c r="K10" i="2"/>
  <c r="F6" i="2"/>
  <c r="E6" i="2"/>
  <c r="F6" i="6"/>
  <c r="E6" i="6"/>
  <c r="U53" i="2"/>
  <c r="U49" i="2"/>
  <c r="U35" i="2"/>
  <c r="K34" i="2"/>
  <c r="U33" i="2"/>
  <c r="U21" i="2"/>
  <c r="K30" i="2"/>
  <c r="U29" i="2"/>
  <c r="U27" i="2"/>
  <c r="K26" i="2"/>
  <c r="U31" i="2"/>
  <c r="V17" i="1"/>
  <c r="W16" i="1"/>
  <c r="X16" i="1" s="1"/>
  <c r="Y16" i="1" s="1"/>
  <c r="W15" i="1"/>
  <c r="X15" i="1" s="1"/>
  <c r="Y15" i="1" s="1"/>
  <c r="U23" i="2"/>
  <c r="U25" i="2"/>
  <c r="U52" i="2"/>
  <c r="U40" i="2"/>
  <c r="U36" i="2"/>
  <c r="U32" i="2"/>
  <c r="U28" i="2"/>
  <c r="U24" i="2"/>
  <c r="U20" i="2"/>
  <c r="U16" i="2"/>
  <c r="U12" i="2"/>
  <c r="U8" i="2"/>
  <c r="U48" i="2"/>
  <c r="U44" i="2"/>
  <c r="Y14" i="1"/>
  <c r="M45" i="2" l="1"/>
  <c r="A3" i="9" s="1"/>
  <c r="A20" i="9" s="1"/>
  <c r="C20" i="9" s="1"/>
  <c r="M40" i="2"/>
  <c r="M43" i="2"/>
  <c r="V18" i="1"/>
  <c r="W17" i="1"/>
  <c r="X17" i="1" s="1"/>
  <c r="Y17" i="1" s="1"/>
  <c r="A19" i="9" l="1"/>
  <c r="D19" i="9" s="1"/>
  <c r="A18" i="9"/>
  <c r="D18" i="9" s="1"/>
  <c r="A22" i="9"/>
  <c r="C22" i="9" s="1"/>
  <c r="A21" i="9"/>
  <c r="D21" i="9" s="1"/>
  <c r="A17" i="9"/>
  <c r="C17" i="9" s="1"/>
  <c r="A16" i="9"/>
  <c r="D16" i="9" s="1"/>
  <c r="E18" i="9"/>
  <c r="D20" i="9"/>
  <c r="E20" i="9"/>
  <c r="C19" i="9"/>
  <c r="V19" i="1"/>
  <c r="W18" i="1"/>
  <c r="X18" i="1" s="1"/>
  <c r="Y18" i="1" s="1"/>
  <c r="I20" i="9"/>
  <c r="D17" i="9" l="1"/>
  <c r="E16" i="9"/>
  <c r="C16" i="9"/>
  <c r="E21" i="9"/>
  <c r="C21" i="9"/>
  <c r="E22" i="9"/>
  <c r="E17" i="9"/>
  <c r="E19" i="9"/>
  <c r="C18" i="9"/>
  <c r="D22" i="9"/>
  <c r="V20" i="1"/>
  <c r="W19" i="1"/>
  <c r="X19" i="1" s="1"/>
  <c r="Y19" i="1" s="1"/>
  <c r="L18" i="9"/>
  <c r="L20" i="9"/>
  <c r="L17" i="9"/>
  <c r="I19" i="9"/>
  <c r="H17" i="9"/>
  <c r="B20" i="9"/>
  <c r="H18" i="9"/>
  <c r="L16" i="9"/>
  <c r="I16" i="9"/>
  <c r="L19" i="9"/>
  <c r="I17" i="9"/>
  <c r="H16" i="9"/>
  <c r="I18" i="9"/>
  <c r="H20" i="9"/>
  <c r="H19" i="9"/>
  <c r="H21" i="9"/>
  <c r="H22" i="9"/>
  <c r="N16" i="9" l="1"/>
  <c r="O16" i="9" s="1"/>
  <c r="N17" i="9"/>
  <c r="N18" i="9"/>
  <c r="N19" i="9"/>
  <c r="N20" i="9"/>
  <c r="M20" i="9"/>
  <c r="B6" i="2"/>
  <c r="W20" i="1"/>
  <c r="X20" i="1" s="1"/>
  <c r="Y20" i="1" s="1"/>
  <c r="B21" i="9"/>
  <c r="B22" i="9"/>
  <c r="I22" i="9"/>
  <c r="L21" i="9"/>
  <c r="I21" i="9"/>
  <c r="L22" i="9"/>
  <c r="M21" i="9" l="1"/>
  <c r="O20" i="9"/>
  <c r="O19" i="9"/>
  <c r="O18" i="9"/>
  <c r="O17" i="9"/>
  <c r="M22" i="9"/>
  <c r="N21" i="9"/>
  <c r="O21" i="9" s="1"/>
  <c r="N22" i="9"/>
  <c r="V22" i="1"/>
  <c r="W21" i="1"/>
  <c r="Y21" i="1" s="1"/>
  <c r="O22" i="9" l="1"/>
  <c r="P20" i="9" s="1"/>
  <c r="V23" i="1"/>
  <c r="W22" i="1"/>
  <c r="B4" i="5"/>
  <c r="J6" i="2"/>
  <c r="U6" i="2" s="1"/>
  <c r="C6" i="2"/>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3" i="1"/>
  <c r="B2" i="1"/>
  <c r="P19" i="9" l="1"/>
  <c r="P21" i="9"/>
  <c r="P17" i="9"/>
  <c r="P18" i="9"/>
  <c r="P16" i="9"/>
  <c r="P22" i="9"/>
  <c r="B11" i="5"/>
  <c r="A9" i="15"/>
  <c r="B26" i="5"/>
  <c r="A24" i="15"/>
  <c r="B18" i="5"/>
  <c r="A16" i="15"/>
  <c r="B33" i="5"/>
  <c r="A31" i="15"/>
  <c r="B9" i="5"/>
  <c r="A7" i="15"/>
  <c r="B32" i="5"/>
  <c r="A30" i="15"/>
  <c r="B24" i="5"/>
  <c r="A22" i="15"/>
  <c r="B16" i="5"/>
  <c r="A14" i="15"/>
  <c r="B8" i="5"/>
  <c r="A6" i="15"/>
  <c r="B35" i="5"/>
  <c r="A33" i="15"/>
  <c r="B34" i="5"/>
  <c r="A32" i="15"/>
  <c r="B10" i="5"/>
  <c r="A8" i="15"/>
  <c r="B25" i="5"/>
  <c r="A23" i="15"/>
  <c r="B17" i="5"/>
  <c r="A15" i="15"/>
  <c r="B31" i="5"/>
  <c r="A29" i="15"/>
  <c r="B23" i="5"/>
  <c r="A21" i="15"/>
  <c r="B15" i="5"/>
  <c r="A13" i="15"/>
  <c r="B7" i="5"/>
  <c r="A5" i="15"/>
  <c r="B27" i="5"/>
  <c r="A25" i="15"/>
  <c r="B30" i="5"/>
  <c r="A28" i="15"/>
  <c r="B6" i="5"/>
  <c r="A4" i="15"/>
  <c r="B29" i="5"/>
  <c r="A27" i="15"/>
  <c r="B21" i="5"/>
  <c r="A19" i="15"/>
  <c r="B13" i="5"/>
  <c r="A11" i="15"/>
  <c r="B5" i="5"/>
  <c r="A3" i="15"/>
  <c r="B19" i="5"/>
  <c r="A17" i="15"/>
  <c r="B22" i="5"/>
  <c r="A20" i="15"/>
  <c r="B14" i="5"/>
  <c r="A12" i="15"/>
  <c r="A2" i="15"/>
  <c r="B28" i="5"/>
  <c r="A26" i="15"/>
  <c r="B20" i="5"/>
  <c r="A18" i="15"/>
  <c r="B12" i="5"/>
  <c r="A10" i="15"/>
  <c r="X22" i="1"/>
  <c r="Y22" i="1" s="1"/>
  <c r="V24" i="1"/>
  <c r="W23" i="1"/>
  <c r="X23" i="1" s="1"/>
  <c r="Y23" i="1" s="1"/>
  <c r="S6" i="2"/>
  <c r="P6" i="2"/>
  <c r="K6" i="2"/>
  <c r="R14" i="16" l="1"/>
  <c r="R12" i="16"/>
  <c r="R13" i="16"/>
  <c r="B4" i="7"/>
  <c r="G20" i="7"/>
  <c r="B19" i="7"/>
  <c r="B17" i="7"/>
  <c r="B14" i="7"/>
  <c r="B21" i="7"/>
  <c r="L6" i="2"/>
  <c r="V25" i="1"/>
  <c r="W24" i="1"/>
  <c r="X24" i="1" s="1"/>
  <c r="Y24" i="1" s="1"/>
  <c r="V26" i="1" l="1"/>
  <c r="W25" i="1"/>
  <c r="X25" i="1" s="1"/>
  <c r="Y25" i="1" s="1"/>
  <c r="V27" i="1" l="1"/>
  <c r="W27" i="1" s="1"/>
  <c r="W26" i="1"/>
  <c r="X26" i="1" s="1"/>
  <c r="Y26" i="1" s="1"/>
  <c r="X27" i="1" l="1"/>
  <c r="W28" i="1"/>
  <c r="Z2" i="1" s="1"/>
  <c r="Y27" i="1" l="1"/>
  <c r="Y28" i="1" s="1"/>
  <c r="W3" i="1" s="1"/>
  <c r="W4" i="1" s="1"/>
  <c r="W5" i="1" s="1"/>
  <c r="W6" i="1" s="1"/>
  <c r="A6" i="2" s="1"/>
  <c r="X28" i="1"/>
  <c r="A11" i="14" l="1"/>
  <c r="H11" i="14" s="1"/>
  <c r="A6" i="14"/>
  <c r="H6" i="14" s="1"/>
  <c r="A7" i="14"/>
  <c r="H7" i="14" s="1"/>
  <c r="A9" i="14"/>
  <c r="H9" i="14" s="1"/>
  <c r="A8" i="14"/>
  <c r="H8" i="14" s="1"/>
  <c r="A10" i="14"/>
  <c r="H10" i="14" s="1"/>
  <c r="A40" i="2"/>
  <c r="A50" i="2"/>
  <c r="A19" i="2"/>
  <c r="A52" i="2"/>
  <c r="A41" i="2"/>
  <c r="A15" i="2"/>
  <c r="A27" i="2"/>
  <c r="A29" i="2"/>
  <c r="A23" i="2"/>
  <c r="A43" i="2"/>
  <c r="A16" i="2"/>
  <c r="A51" i="2"/>
  <c r="A26" i="2"/>
  <c r="A17" i="2"/>
  <c r="A33" i="2"/>
  <c r="A36" i="2"/>
  <c r="A53" i="2"/>
  <c r="A31" i="2"/>
  <c r="A12" i="2"/>
  <c r="A18" i="2"/>
  <c r="A24" i="2"/>
  <c r="A20" i="2"/>
  <c r="A7" i="2"/>
  <c r="D7" i="2" s="1"/>
  <c r="A9" i="2"/>
  <c r="A13" i="2"/>
  <c r="A35" i="2"/>
  <c r="A32" i="2"/>
  <c r="A30" i="2"/>
  <c r="A45" i="2"/>
  <c r="A39" i="2"/>
  <c r="A21" i="2"/>
  <c r="A46" i="2"/>
  <c r="A48" i="2"/>
  <c r="A10" i="2"/>
  <c r="A47" i="2"/>
  <c r="A37" i="2"/>
  <c r="A22" i="2"/>
  <c r="A44" i="2"/>
  <c r="W7" i="1"/>
  <c r="W8" i="1" s="1"/>
  <c r="W9" i="1" s="1"/>
  <c r="W10" i="1" s="1"/>
  <c r="W11" i="1" s="1"/>
  <c r="A34" i="2"/>
  <c r="A25" i="2"/>
  <c r="A28" i="2"/>
  <c r="A14" i="2"/>
  <c r="A49" i="2"/>
  <c r="H6" i="2"/>
  <c r="A8" i="2"/>
  <c r="A42" i="2"/>
  <c r="A11" i="2"/>
  <c r="A38" i="2"/>
  <c r="B18" i="9"/>
  <c r="B16" i="9"/>
  <c r="B19" i="9"/>
  <c r="B17" i="9"/>
  <c r="M19" i="9" l="1"/>
  <c r="M16" i="9"/>
  <c r="M17" i="9"/>
  <c r="M18" i="9"/>
  <c r="H7" i="2"/>
  <c r="I7" i="2"/>
  <c r="N7" i="2" s="1"/>
  <c r="D8" i="2"/>
  <c r="I8" i="2" l="1"/>
  <c r="E8" i="2" s="1"/>
  <c r="B8" i="2" s="1"/>
  <c r="P8" i="2" s="1"/>
  <c r="E7" i="2"/>
  <c r="B7" i="2" s="1"/>
  <c r="P7" i="2" s="1"/>
  <c r="F7" i="2"/>
  <c r="C7" i="2" s="1"/>
  <c r="S7" i="2" s="1"/>
  <c r="H8" i="2"/>
  <c r="D9" i="2"/>
  <c r="N8" i="2" l="1"/>
  <c r="F8" i="2"/>
  <c r="C8" i="2" s="1"/>
  <c r="S8" i="2" s="1"/>
  <c r="L7" i="2"/>
  <c r="I9" i="2"/>
  <c r="N9" i="2" s="1"/>
  <c r="D10" i="2"/>
  <c r="H9" i="2"/>
  <c r="L8" i="2" l="1"/>
  <c r="E9" i="2"/>
  <c r="B9" i="2" s="1"/>
  <c r="P9" i="2" s="1"/>
  <c r="F9" i="2"/>
  <c r="C9" i="2" s="1"/>
  <c r="S9" i="2" s="1"/>
  <c r="I10" i="2"/>
  <c r="N10" i="2" s="1"/>
  <c r="H10" i="2"/>
  <c r="D11" i="2"/>
  <c r="F10" i="2" l="1"/>
  <c r="C10" i="2" s="1"/>
  <c r="S10" i="2" s="1"/>
  <c r="E10" i="2"/>
  <c r="B10" i="2" s="1"/>
  <c r="P10" i="2" s="1"/>
  <c r="L9" i="2"/>
  <c r="D12" i="2"/>
  <c r="N12" i="2" s="1"/>
  <c r="I11" i="2"/>
  <c r="N11" i="2" s="1"/>
  <c r="H11" i="2"/>
  <c r="F11" i="2" l="1"/>
  <c r="C11" i="2" s="1"/>
  <c r="S11" i="2" s="1"/>
  <c r="E11" i="2"/>
  <c r="B11" i="2" s="1"/>
  <c r="P11" i="2" s="1"/>
  <c r="L10" i="2"/>
  <c r="D13" i="2"/>
  <c r="N13" i="2" s="1"/>
  <c r="H12" i="2"/>
  <c r="I12" i="2"/>
  <c r="E12" i="2" l="1"/>
  <c r="B12" i="2" s="1"/>
  <c r="P12" i="2" s="1"/>
  <c r="F12" i="2"/>
  <c r="C12" i="2" s="1"/>
  <c r="S12" i="2" s="1"/>
  <c r="L11" i="2"/>
  <c r="I13" i="2"/>
  <c r="D14" i="2"/>
  <c r="N14" i="2" s="1"/>
  <c r="H13" i="2"/>
  <c r="E13" i="2" l="1"/>
  <c r="B13" i="2" s="1"/>
  <c r="P13" i="2" s="1"/>
  <c r="F13" i="2"/>
  <c r="C13" i="2" s="1"/>
  <c r="S13" i="2" s="1"/>
  <c r="L12" i="2"/>
  <c r="D15" i="2"/>
  <c r="N15" i="2" s="1"/>
  <c r="I14" i="2"/>
  <c r="H14" i="2"/>
  <c r="F14" i="2" l="1"/>
  <c r="C14" i="2" s="1"/>
  <c r="S14" i="2" s="1"/>
  <c r="E14" i="2"/>
  <c r="B14" i="2" s="1"/>
  <c r="P14" i="2" s="1"/>
  <c r="L13" i="2"/>
  <c r="I15" i="2"/>
  <c r="H15" i="2"/>
  <c r="D16" i="2"/>
  <c r="N16" i="2" s="1"/>
  <c r="F15" i="2" l="1"/>
  <c r="C15" i="2" s="1"/>
  <c r="S15" i="2" s="1"/>
  <c r="E15" i="2"/>
  <c r="B15" i="2" s="1"/>
  <c r="P15" i="2" s="1"/>
  <c r="L14" i="2"/>
  <c r="D17" i="2"/>
  <c r="N17" i="2" s="1"/>
  <c r="H16" i="2"/>
  <c r="I16" i="2"/>
  <c r="E16" i="2" l="1"/>
  <c r="F16" i="2"/>
  <c r="L15" i="2"/>
  <c r="D18" i="2"/>
  <c r="N18" i="2" s="1"/>
  <c r="I17" i="2"/>
  <c r="H17" i="2"/>
  <c r="C16" i="2" l="1"/>
  <c r="S16" i="2" s="1"/>
  <c r="B16" i="2"/>
  <c r="P16" i="2" s="1"/>
  <c r="E17" i="2"/>
  <c r="B17" i="2" s="1"/>
  <c r="P17" i="2" s="1"/>
  <c r="F17" i="2"/>
  <c r="C17" i="2" s="1"/>
  <c r="S17" i="2" s="1"/>
  <c r="I18" i="2"/>
  <c r="H18" i="2"/>
  <c r="D19" i="2"/>
  <c r="N19" i="2" s="1"/>
  <c r="L16" i="2" l="1"/>
  <c r="F18" i="2"/>
  <c r="C18" i="2" s="1"/>
  <c r="S18" i="2" s="1"/>
  <c r="E18" i="2"/>
  <c r="B18" i="2" s="1"/>
  <c r="P18" i="2" s="1"/>
  <c r="L17" i="2"/>
  <c r="I19" i="2"/>
  <c r="H19" i="2"/>
  <c r="D20" i="2"/>
  <c r="E19" i="2" l="1"/>
  <c r="B19" i="2" s="1"/>
  <c r="P19" i="2" s="1"/>
  <c r="F19" i="2"/>
  <c r="C19" i="2" s="1"/>
  <c r="S19" i="2" s="1"/>
  <c r="L18" i="2"/>
  <c r="H20" i="2"/>
  <c r="I20" i="2"/>
  <c r="N20" i="2" s="1"/>
  <c r="D21" i="2"/>
  <c r="J16" i="9"/>
  <c r="G16" i="9"/>
  <c r="E20" i="2" l="1"/>
  <c r="B20" i="2" s="1"/>
  <c r="P20" i="2" s="1"/>
  <c r="F20" i="2"/>
  <c r="C20" i="2" s="1"/>
  <c r="S20" i="2" s="1"/>
  <c r="L19" i="2"/>
  <c r="D22" i="2"/>
  <c r="I21" i="2"/>
  <c r="N21" i="2" s="1"/>
  <c r="H21" i="2"/>
  <c r="N22" i="2" l="1"/>
  <c r="E21" i="2"/>
  <c r="B21" i="2" s="1"/>
  <c r="P21" i="2" s="1"/>
  <c r="F21" i="2"/>
  <c r="C21" i="2" s="1"/>
  <c r="S21" i="2" s="1"/>
  <c r="L20" i="2"/>
  <c r="D23" i="2"/>
  <c r="I22" i="2"/>
  <c r="H22" i="2"/>
  <c r="N23" i="2" l="1"/>
  <c r="F22" i="2"/>
  <c r="C22" i="2" s="1"/>
  <c r="S22" i="2" s="1"/>
  <c r="E22" i="2"/>
  <c r="B22" i="2" s="1"/>
  <c r="P22" i="2" s="1"/>
  <c r="L21" i="2"/>
  <c r="D24" i="2"/>
  <c r="I23" i="2"/>
  <c r="H23" i="2"/>
  <c r="F23" i="2" l="1"/>
  <c r="C23" i="2" s="1"/>
  <c r="S23" i="2" s="1"/>
  <c r="E23" i="2"/>
  <c r="B23" i="2" s="1"/>
  <c r="P23" i="2" s="1"/>
  <c r="L22" i="2"/>
  <c r="I24" i="2"/>
  <c r="N24" i="2" s="1"/>
  <c r="H24" i="2"/>
  <c r="D25" i="2"/>
  <c r="E24" i="2" l="1"/>
  <c r="F24" i="2"/>
  <c r="L23" i="2"/>
  <c r="I25" i="2"/>
  <c r="N25" i="2" s="1"/>
  <c r="D26" i="2"/>
  <c r="H25" i="2"/>
  <c r="C24" i="2" l="1"/>
  <c r="S24" i="2" s="1"/>
  <c r="B24" i="2"/>
  <c r="P24" i="2" s="1"/>
  <c r="N26" i="2"/>
  <c r="E25" i="2"/>
  <c r="B25" i="2" s="1"/>
  <c r="P25" i="2" s="1"/>
  <c r="F25" i="2"/>
  <c r="C25" i="2" s="1"/>
  <c r="S25" i="2" s="1"/>
  <c r="I26" i="2"/>
  <c r="H26" i="2"/>
  <c r="D27" i="2"/>
  <c r="L24" i="2" l="1"/>
  <c r="F26" i="2"/>
  <c r="C26" i="2" s="1"/>
  <c r="S26" i="2" s="1"/>
  <c r="E26" i="2"/>
  <c r="B26" i="2" s="1"/>
  <c r="P26" i="2" s="1"/>
  <c r="L25" i="2"/>
  <c r="I27" i="2"/>
  <c r="N27" i="2" s="1"/>
  <c r="D28" i="2"/>
  <c r="N28" i="2" s="1"/>
  <c r="H27" i="2"/>
  <c r="F27" i="2" l="1"/>
  <c r="C27" i="2" s="1"/>
  <c r="S27" i="2" s="1"/>
  <c r="E27" i="2"/>
  <c r="B27" i="2" s="1"/>
  <c r="P27" i="2" s="1"/>
  <c r="L26" i="2"/>
  <c r="I28" i="2"/>
  <c r="D29" i="2"/>
  <c r="N29" i="2" s="1"/>
  <c r="H28" i="2"/>
  <c r="E28" i="2" l="1"/>
  <c r="B28" i="2" s="1"/>
  <c r="P28" i="2" s="1"/>
  <c r="F28" i="2"/>
  <c r="C28" i="2" s="1"/>
  <c r="S28" i="2" s="1"/>
  <c r="L27" i="2"/>
  <c r="I29" i="2"/>
  <c r="H29" i="2"/>
  <c r="D30" i="2"/>
  <c r="N30" i="2" s="1"/>
  <c r="E29" i="2" l="1"/>
  <c r="B29" i="2" s="1"/>
  <c r="P29" i="2" s="1"/>
  <c r="F29" i="2"/>
  <c r="C29" i="2" s="1"/>
  <c r="S29" i="2" s="1"/>
  <c r="L28" i="2"/>
  <c r="H30" i="2"/>
  <c r="D31" i="2"/>
  <c r="N31" i="2" s="1"/>
  <c r="I30" i="2"/>
  <c r="F30" i="2" l="1"/>
  <c r="C30" i="2" s="1"/>
  <c r="S30" i="2" s="1"/>
  <c r="E30" i="2"/>
  <c r="B30" i="2" s="1"/>
  <c r="P30" i="2" s="1"/>
  <c r="L29" i="2"/>
  <c r="I31" i="2"/>
  <c r="H31" i="2"/>
  <c r="D32" i="2"/>
  <c r="N32" i="2" s="1"/>
  <c r="G17" i="9"/>
  <c r="J17" i="9"/>
  <c r="F31" i="2" l="1"/>
  <c r="C31" i="2" s="1"/>
  <c r="S31" i="2" s="1"/>
  <c r="E31" i="2"/>
  <c r="B31" i="2" s="1"/>
  <c r="P31" i="2" s="1"/>
  <c r="L30" i="2"/>
  <c r="I32" i="2"/>
  <c r="H32" i="2"/>
  <c r="D33" i="2"/>
  <c r="N33" i="2" s="1"/>
  <c r="E32" i="2" l="1"/>
  <c r="B32" i="2" s="1"/>
  <c r="P32" i="2" s="1"/>
  <c r="F32" i="2"/>
  <c r="C32" i="2" s="1"/>
  <c r="S32" i="2" s="1"/>
  <c r="L31" i="2"/>
  <c r="I33" i="2"/>
  <c r="H33" i="2"/>
  <c r="D34" i="2"/>
  <c r="N34" i="2" s="1"/>
  <c r="E33" i="2" l="1"/>
  <c r="B33" i="2" s="1"/>
  <c r="P33" i="2" s="1"/>
  <c r="F33" i="2"/>
  <c r="C33" i="2" s="1"/>
  <c r="S33" i="2" s="1"/>
  <c r="L32" i="2"/>
  <c r="D35" i="2"/>
  <c r="N35" i="2" s="1"/>
  <c r="I34" i="2"/>
  <c r="H34" i="2"/>
  <c r="F34" i="2" l="1"/>
  <c r="C34" i="2" s="1"/>
  <c r="S34" i="2" s="1"/>
  <c r="E34" i="2"/>
  <c r="B34" i="2" s="1"/>
  <c r="P34" i="2" s="1"/>
  <c r="L33" i="2"/>
  <c r="I35" i="2"/>
  <c r="D36" i="2"/>
  <c r="H35" i="2"/>
  <c r="E35" i="2" l="1"/>
  <c r="B35" i="2" s="1"/>
  <c r="P35" i="2" s="1"/>
  <c r="F35" i="2"/>
  <c r="C35" i="2" s="1"/>
  <c r="S35" i="2" s="1"/>
  <c r="L34" i="2"/>
  <c r="H36" i="2"/>
  <c r="I36" i="2"/>
  <c r="N36" i="2" s="1"/>
  <c r="D37" i="2"/>
  <c r="E36" i="2" l="1"/>
  <c r="B36" i="2" s="1"/>
  <c r="P36" i="2" s="1"/>
  <c r="F36" i="2"/>
  <c r="C36" i="2" s="1"/>
  <c r="S36" i="2" s="1"/>
  <c r="L35" i="2"/>
  <c r="H37" i="2"/>
  <c r="D38" i="2"/>
  <c r="I37" i="2"/>
  <c r="N37" i="2" s="1"/>
  <c r="E37" i="2" l="1"/>
  <c r="B37" i="2" s="1"/>
  <c r="P37" i="2" s="1"/>
  <c r="F37" i="2"/>
  <c r="C37" i="2" s="1"/>
  <c r="S37" i="2" s="1"/>
  <c r="L36" i="2"/>
  <c r="H38" i="2"/>
  <c r="D39" i="2"/>
  <c r="I38" i="2"/>
  <c r="N38" i="2" s="1"/>
  <c r="F38" i="2" l="1"/>
  <c r="C38" i="2" s="1"/>
  <c r="S38" i="2" s="1"/>
  <c r="E38" i="2"/>
  <c r="B38" i="2" s="1"/>
  <c r="P38" i="2" s="1"/>
  <c r="L37" i="2"/>
  <c r="D40" i="2"/>
  <c r="I39" i="2"/>
  <c r="N39" i="2" s="1"/>
  <c r="H39" i="2"/>
  <c r="F39" i="2" l="1"/>
  <c r="C39" i="2" s="1"/>
  <c r="S39" i="2" s="1"/>
  <c r="E39" i="2"/>
  <c r="B39" i="2" s="1"/>
  <c r="P39" i="2" s="1"/>
  <c r="L38" i="2"/>
  <c r="I40" i="2"/>
  <c r="N40" i="2" s="1"/>
  <c r="H40" i="2"/>
  <c r="D41" i="2"/>
  <c r="E40" i="2" l="1"/>
  <c r="B40" i="2" s="1"/>
  <c r="P40" i="2" s="1"/>
  <c r="F40" i="2"/>
  <c r="C40" i="2" s="1"/>
  <c r="S40" i="2" s="1"/>
  <c r="L39" i="2"/>
  <c r="H41" i="2"/>
  <c r="I41" i="2"/>
  <c r="N41" i="2" s="1"/>
  <c r="D42" i="2"/>
  <c r="E41" i="2" l="1"/>
  <c r="B41" i="2" s="1"/>
  <c r="P41" i="2" s="1"/>
  <c r="F41" i="2"/>
  <c r="C41" i="2" s="1"/>
  <c r="S41" i="2" s="1"/>
  <c r="L40" i="2"/>
  <c r="I42" i="2"/>
  <c r="N42" i="2" s="1"/>
  <c r="D43" i="2"/>
  <c r="H42" i="2"/>
  <c r="J18" i="9"/>
  <c r="G18" i="9"/>
  <c r="N43" i="2" l="1"/>
  <c r="F42" i="2"/>
  <c r="C42" i="2" s="1"/>
  <c r="S42" i="2" s="1"/>
  <c r="E42" i="2"/>
  <c r="B42" i="2" s="1"/>
  <c r="P42" i="2" s="1"/>
  <c r="L41" i="2"/>
  <c r="I43" i="2"/>
  <c r="H43" i="2"/>
  <c r="D44" i="2"/>
  <c r="N44" i="2" s="1"/>
  <c r="E43" i="2" l="1"/>
  <c r="F43" i="2"/>
  <c r="L42" i="2"/>
  <c r="D45" i="2"/>
  <c r="N45" i="2" s="1"/>
  <c r="I44" i="2"/>
  <c r="H44" i="2"/>
  <c r="B43" i="2" l="1"/>
  <c r="P43" i="2" s="1"/>
  <c r="C43" i="2"/>
  <c r="S43" i="2" s="1"/>
  <c r="E44" i="2"/>
  <c r="B44" i="2" s="1"/>
  <c r="P44" i="2" s="1"/>
  <c r="F44" i="2"/>
  <c r="C44" i="2" s="1"/>
  <c r="S44" i="2" s="1"/>
  <c r="D46" i="2"/>
  <c r="N46" i="2" s="1"/>
  <c r="I45" i="2"/>
  <c r="H45" i="2"/>
  <c r="L43" i="2" l="1"/>
  <c r="E45" i="2"/>
  <c r="B45" i="2" s="1"/>
  <c r="P45" i="2" s="1"/>
  <c r="F45" i="2"/>
  <c r="C45" i="2" s="1"/>
  <c r="S45" i="2" s="1"/>
  <c r="L44" i="2"/>
  <c r="D47" i="2"/>
  <c r="N47" i="2" s="1"/>
  <c r="I46" i="2"/>
  <c r="H46" i="2"/>
  <c r="F46" i="2" l="1"/>
  <c r="C46" i="2" s="1"/>
  <c r="S46" i="2" s="1"/>
  <c r="E46" i="2"/>
  <c r="B46" i="2" s="1"/>
  <c r="P46" i="2" s="1"/>
  <c r="L45" i="2"/>
  <c r="I47" i="2"/>
  <c r="D48" i="2"/>
  <c r="N48" i="2" s="1"/>
  <c r="H47" i="2"/>
  <c r="E47" i="2" l="1"/>
  <c r="B47" i="2" s="1"/>
  <c r="P47" i="2" s="1"/>
  <c r="F47" i="2"/>
  <c r="C47" i="2" s="1"/>
  <c r="S47" i="2" s="1"/>
  <c r="L46" i="2"/>
  <c r="I48" i="2"/>
  <c r="H48" i="2"/>
  <c r="D49" i="2"/>
  <c r="N49" i="2" s="1"/>
  <c r="E48" i="2" l="1"/>
  <c r="B48" i="2" s="1"/>
  <c r="P48" i="2" s="1"/>
  <c r="F48" i="2"/>
  <c r="C48" i="2" s="1"/>
  <c r="S48" i="2" s="1"/>
  <c r="L47" i="2"/>
  <c r="I49" i="2"/>
  <c r="H49" i="2"/>
  <c r="D50" i="2"/>
  <c r="N50" i="2" s="1"/>
  <c r="E49" i="2" l="1"/>
  <c r="B49" i="2" s="1"/>
  <c r="P49" i="2" s="1"/>
  <c r="F49" i="2"/>
  <c r="C49" i="2" s="1"/>
  <c r="S49" i="2" s="1"/>
  <c r="L48" i="2"/>
  <c r="H50" i="2"/>
  <c r="D51" i="2"/>
  <c r="N51" i="2" s="1"/>
  <c r="I50" i="2"/>
  <c r="F50" i="2" l="1"/>
  <c r="C50" i="2" s="1"/>
  <c r="S50" i="2" s="1"/>
  <c r="E50" i="2"/>
  <c r="B50" i="2" s="1"/>
  <c r="P50" i="2" s="1"/>
  <c r="L49" i="2"/>
  <c r="D52" i="2"/>
  <c r="H51" i="2"/>
  <c r="I51" i="2"/>
  <c r="F51" i="2" l="1"/>
  <c r="C51" i="2" s="1"/>
  <c r="S51" i="2" s="1"/>
  <c r="E4" i="16" s="1"/>
  <c r="E51" i="2"/>
  <c r="B51" i="2" s="1"/>
  <c r="P51" i="2" s="1"/>
  <c r="B4" i="16" s="1"/>
  <c r="L50" i="2"/>
  <c r="I52" i="2"/>
  <c r="N52" i="2" s="1"/>
  <c r="H52" i="2"/>
  <c r="D53" i="2"/>
  <c r="D4" i="16" l="1"/>
  <c r="C4" i="16"/>
  <c r="E52" i="2"/>
  <c r="B52" i="2" s="1"/>
  <c r="P52" i="2" s="1"/>
  <c r="B5" i="16" s="1"/>
  <c r="F52" i="2"/>
  <c r="C52" i="2" s="1"/>
  <c r="S52" i="2" s="1"/>
  <c r="E5" i="16" s="1"/>
  <c r="L51" i="2"/>
  <c r="H53" i="2"/>
  <c r="I53" i="2"/>
  <c r="N53" i="2" s="1"/>
  <c r="D5" i="16" l="1"/>
  <c r="C5" i="16"/>
  <c r="S10" i="14"/>
  <c r="P10" i="14"/>
  <c r="H33" i="1"/>
  <c r="H30" i="1"/>
  <c r="H17" i="1"/>
  <c r="S6" i="14"/>
  <c r="P6" i="14"/>
  <c r="P7" i="14"/>
  <c r="S7" i="14"/>
  <c r="P8" i="14"/>
  <c r="S8" i="14"/>
  <c r="P9" i="14"/>
  <c r="S9" i="14"/>
  <c r="U9" i="14"/>
  <c r="Z11" i="14"/>
  <c r="AA9" i="14"/>
  <c r="V9" i="14" s="1"/>
  <c r="R10" i="14"/>
  <c r="T6" i="14"/>
  <c r="O10" i="14"/>
  <c r="Y8" i="14"/>
  <c r="AA6" i="14"/>
  <c r="V6" i="14" s="1"/>
  <c r="W6" i="14" s="1"/>
  <c r="AA8" i="14"/>
  <c r="V8" i="14" s="1"/>
  <c r="U6" i="14"/>
  <c r="O9" i="14"/>
  <c r="Y6" i="14"/>
  <c r="O8" i="14"/>
  <c r="O6" i="14"/>
  <c r="T10" i="14"/>
  <c r="R7" i="14"/>
  <c r="U7" i="14"/>
  <c r="Y7" i="14"/>
  <c r="R11" i="14"/>
  <c r="R6" i="14"/>
  <c r="Y9" i="14"/>
  <c r="AA7" i="14"/>
  <c r="V7" i="14" s="1"/>
  <c r="Z6" i="14"/>
  <c r="AA10" i="14"/>
  <c r="V10" i="14" s="1"/>
  <c r="Q7" i="14"/>
  <c r="Q6" i="14"/>
  <c r="Z8" i="14"/>
  <c r="T9" i="14"/>
  <c r="T7" i="14"/>
  <c r="R9" i="14"/>
  <c r="Y10" i="14"/>
  <c r="O11" i="14"/>
  <c r="R8" i="14"/>
  <c r="Q9" i="14"/>
  <c r="Z9" i="14"/>
  <c r="U10" i="14"/>
  <c r="T11" i="14"/>
  <c r="O7" i="14"/>
  <c r="Q11" i="14"/>
  <c r="Z10" i="14"/>
  <c r="Q10" i="14"/>
  <c r="Q8" i="14"/>
  <c r="U8" i="14"/>
  <c r="T8" i="14"/>
  <c r="Y11" i="14"/>
  <c r="Z7" i="14"/>
  <c r="U11" i="14"/>
  <c r="AA11" i="14"/>
  <c r="V11" i="14" s="1"/>
  <c r="E53" i="2"/>
  <c r="B53" i="2" s="1"/>
  <c r="P53" i="2" s="1"/>
  <c r="B6" i="16" s="1"/>
  <c r="F53" i="2"/>
  <c r="C53" i="2" s="1"/>
  <c r="S53" i="2" s="1"/>
  <c r="E6" i="16" s="1"/>
  <c r="L52" i="2"/>
  <c r="D6" i="16" l="1"/>
  <c r="C6" i="16"/>
  <c r="W8" i="14"/>
  <c r="W10" i="14"/>
  <c r="W7" i="14"/>
  <c r="W9" i="14"/>
  <c r="W11" i="14"/>
  <c r="P11" i="14"/>
  <c r="H8" i="1"/>
  <c r="J29" i="1"/>
  <c r="J30" i="1"/>
  <c r="J2" i="1"/>
  <c r="J17" i="1"/>
  <c r="J7" i="1"/>
  <c r="J23" i="1"/>
  <c r="H9" i="1"/>
  <c r="H32" i="1"/>
  <c r="H31" i="1"/>
  <c r="H11" i="1"/>
  <c r="J19" i="1"/>
  <c r="H15" i="1"/>
  <c r="J5" i="1"/>
  <c r="H10" i="1"/>
  <c r="J15" i="1"/>
  <c r="J25" i="1"/>
  <c r="H4" i="1"/>
  <c r="J12" i="1"/>
  <c r="H18" i="1"/>
  <c r="J3" i="1"/>
  <c r="J28" i="1"/>
  <c r="H21" i="1"/>
  <c r="H27" i="1"/>
  <c r="H28" i="1"/>
  <c r="J24" i="1"/>
  <c r="H29" i="1"/>
  <c r="H26" i="1"/>
  <c r="J27" i="1"/>
  <c r="J31" i="1"/>
  <c r="H5" i="1"/>
  <c r="H13" i="1"/>
  <c r="J18" i="1"/>
  <c r="J33" i="1"/>
  <c r="J14" i="1"/>
  <c r="J16" i="1"/>
  <c r="J11" i="1"/>
  <c r="J21" i="1"/>
  <c r="J26" i="1"/>
  <c r="S11" i="14"/>
  <c r="H6" i="1"/>
  <c r="H25" i="1"/>
  <c r="H3" i="1"/>
  <c r="H16" i="1"/>
  <c r="H14" i="1"/>
  <c r="H7" i="1"/>
  <c r="H2" i="1"/>
  <c r="J6" i="1"/>
  <c r="J22" i="1"/>
  <c r="J20" i="1"/>
  <c r="J9" i="1"/>
  <c r="H24" i="1"/>
  <c r="J13" i="1"/>
  <c r="J32" i="1"/>
  <c r="J4" i="1"/>
  <c r="J10" i="1"/>
  <c r="J8" i="1"/>
  <c r="H22" i="1"/>
  <c r="H12" i="1"/>
  <c r="H20" i="1"/>
  <c r="H23" i="1"/>
  <c r="H19" i="1"/>
  <c r="J9" i="14"/>
  <c r="K9" i="14" s="1"/>
  <c r="J10" i="14"/>
  <c r="K10" i="14" s="1"/>
  <c r="J11" i="14"/>
  <c r="K11" i="14" s="1"/>
  <c r="J8" i="14"/>
  <c r="K8" i="14" s="1"/>
  <c r="J6" i="14"/>
  <c r="K6" i="14" s="1"/>
  <c r="J7" i="14"/>
  <c r="K7" i="14" s="1"/>
  <c r="L53" i="2"/>
  <c r="G8" i="1"/>
  <c r="K26" i="1"/>
  <c r="G2" i="1"/>
  <c r="G30" i="1"/>
  <c r="I30" i="1" s="1"/>
  <c r="F30" i="1" s="1"/>
  <c r="G14" i="1"/>
  <c r="G7" i="1"/>
  <c r="G28" i="1"/>
  <c r="G19" i="1"/>
  <c r="L19" i="1"/>
  <c r="G5" i="1"/>
  <c r="G21" i="1"/>
  <c r="G31" i="1"/>
  <c r="G4" i="1"/>
  <c r="G6" i="1"/>
  <c r="G29" i="1"/>
  <c r="I29" i="1" s="1"/>
  <c r="F29" i="1" s="1"/>
  <c r="G17" i="1"/>
  <c r="I17" i="1" s="1"/>
  <c r="F17" i="1" s="1"/>
  <c r="G18" i="1"/>
  <c r="G24" i="1"/>
  <c r="G11" i="1"/>
  <c r="G10" i="1"/>
  <c r="K6" i="1"/>
  <c r="K17" i="1"/>
  <c r="G26" i="1"/>
  <c r="K16" i="1"/>
  <c r="G27" i="1"/>
  <c r="G15" i="1"/>
  <c r="I15" i="1" s="1"/>
  <c r="F15" i="1" s="1"/>
  <c r="G25" i="1"/>
  <c r="G22" i="1"/>
  <c r="G12" i="1"/>
  <c r="K5" i="1"/>
  <c r="K12" i="1"/>
  <c r="G16" i="1"/>
  <c r="K25" i="1"/>
  <c r="G33" i="1"/>
  <c r="K15" i="1"/>
  <c r="K10" i="1"/>
  <c r="L16" i="1"/>
  <c r="K4" i="1"/>
  <c r="K23" i="1"/>
  <c r="K31" i="1"/>
  <c r="L12" i="1"/>
  <c r="L6" i="1"/>
  <c r="L13" i="1"/>
  <c r="G13" i="1"/>
  <c r="G20" i="1"/>
  <c r="G32" i="1"/>
  <c r="L31" i="1"/>
  <c r="L5" i="1"/>
  <c r="L18" i="1"/>
  <c r="L9" i="1"/>
  <c r="K3" i="1"/>
  <c r="K14" i="1"/>
  <c r="K9" i="1"/>
  <c r="K28" i="1"/>
  <c r="L26" i="1"/>
  <c r="L28" i="1"/>
  <c r="L10" i="1"/>
  <c r="L21" i="1"/>
  <c r="K24" i="1"/>
  <c r="G23" i="1"/>
  <c r="K8" i="1"/>
  <c r="L2" i="1"/>
  <c r="L25" i="1"/>
  <c r="L22" i="1"/>
  <c r="L23" i="1"/>
  <c r="K19" i="1"/>
  <c r="K27" i="1"/>
  <c r="K30" i="1"/>
  <c r="K2" i="1"/>
  <c r="L15" i="1"/>
  <c r="L8" i="1"/>
  <c r="L30" i="1"/>
  <c r="L20" i="1"/>
  <c r="G9" i="1"/>
  <c r="G3" i="1"/>
  <c r="K32" i="1"/>
  <c r="L32" i="1"/>
  <c r="L4" i="1"/>
  <c r="L24" i="1"/>
  <c r="L11" i="1"/>
  <c r="K18" i="1"/>
  <c r="K11" i="1"/>
  <c r="K20" i="1"/>
  <c r="K13" i="1"/>
  <c r="K7" i="1"/>
  <c r="L33" i="1"/>
  <c r="L27" i="1"/>
  <c r="L7" i="1"/>
  <c r="L29" i="1"/>
  <c r="K33" i="1"/>
  <c r="K21" i="1"/>
  <c r="K29" i="1"/>
  <c r="K22" i="1"/>
  <c r="L3" i="1"/>
  <c r="L14" i="1"/>
  <c r="L17" i="1"/>
  <c r="X11" i="14" l="1"/>
  <c r="X7" i="14"/>
  <c r="X6" i="14"/>
  <c r="X10" i="14"/>
  <c r="X9" i="14"/>
  <c r="X8" i="14"/>
  <c r="M18" i="1"/>
  <c r="I33" i="1"/>
  <c r="F33" i="1" s="1"/>
  <c r="I18" i="1"/>
  <c r="F18" i="1" s="1"/>
  <c r="M4" i="1"/>
  <c r="I28" i="1"/>
  <c r="F28" i="1" s="1"/>
  <c r="I31" i="1"/>
  <c r="F31" i="1" s="1"/>
  <c r="I5" i="1"/>
  <c r="F5" i="1" s="1"/>
  <c r="I7" i="1"/>
  <c r="F7" i="1" s="1"/>
  <c r="I21" i="1"/>
  <c r="F21" i="1" s="1"/>
  <c r="I27" i="1"/>
  <c r="F27" i="1" s="1"/>
  <c r="I6" i="1"/>
  <c r="F6" i="1" s="1"/>
  <c r="I10" i="1"/>
  <c r="F10" i="1" s="1"/>
  <c r="I16" i="1"/>
  <c r="F16" i="1" s="1"/>
  <c r="I26" i="1"/>
  <c r="F26" i="1" s="1"/>
  <c r="I3" i="1"/>
  <c r="F3" i="1" s="1"/>
  <c r="I11" i="1"/>
  <c r="F11" i="1" s="1"/>
  <c r="I14" i="1"/>
  <c r="F14" i="1" s="1"/>
  <c r="I25" i="1"/>
  <c r="F25" i="1" s="1"/>
  <c r="I13" i="1"/>
  <c r="F13" i="1" s="1"/>
  <c r="I2" i="1"/>
  <c r="F2" i="1" s="1"/>
  <c r="I32" i="1"/>
  <c r="F32" i="1" s="1"/>
  <c r="I4" i="1"/>
  <c r="F4" i="1" s="1"/>
  <c r="I9" i="1"/>
  <c r="F9" i="1" s="1"/>
  <c r="I24" i="1"/>
  <c r="F24" i="1" s="1"/>
  <c r="I8" i="1"/>
  <c r="F8" i="1" s="1"/>
  <c r="I19" i="1"/>
  <c r="F19" i="1" s="1"/>
  <c r="I20" i="1"/>
  <c r="F20" i="1" s="1"/>
  <c r="I12" i="1"/>
  <c r="F12" i="1" s="1"/>
  <c r="I23" i="1"/>
  <c r="F23" i="1" s="1"/>
  <c r="I22" i="1"/>
  <c r="F22" i="1" s="1"/>
  <c r="N8" i="7"/>
  <c r="M8" i="7"/>
  <c r="H8" i="7"/>
  <c r="I8" i="7"/>
  <c r="J8" i="7"/>
  <c r="G8" i="7"/>
  <c r="M26" i="1"/>
  <c r="M9" i="7"/>
  <c r="N9" i="7"/>
  <c r="M10" i="7"/>
  <c r="N10" i="7"/>
  <c r="J10" i="7"/>
  <c r="H9" i="7"/>
  <c r="J9" i="7"/>
  <c r="H10" i="7"/>
  <c r="G10" i="7"/>
  <c r="I10" i="7"/>
  <c r="G9" i="7"/>
  <c r="I9" i="7"/>
  <c r="M17" i="1"/>
  <c r="M15" i="1"/>
  <c r="M23" i="1"/>
  <c r="M10" i="1"/>
  <c r="M25" i="1"/>
  <c r="M22" i="1"/>
  <c r="M19" i="1"/>
  <c r="M21" i="1"/>
  <c r="M6" i="1"/>
  <c r="M5" i="1"/>
  <c r="M16" i="1"/>
  <c r="M12" i="1"/>
  <c r="M20" i="1"/>
  <c r="M31" i="1"/>
  <c r="M2" i="1"/>
  <c r="M9" i="1"/>
  <c r="M28" i="1"/>
  <c r="M7" i="1"/>
  <c r="M11" i="1"/>
  <c r="M29" i="1"/>
  <c r="M13" i="1"/>
  <c r="M30" i="1"/>
  <c r="M33" i="1"/>
  <c r="M8" i="1"/>
  <c r="M32" i="1"/>
  <c r="M14" i="1"/>
  <c r="M27" i="1"/>
  <c r="M24" i="1"/>
  <c r="M3" i="1"/>
  <c r="R20" i="16" l="1"/>
  <c r="Q21" i="16"/>
  <c r="R21" i="16"/>
  <c r="Q22" i="16"/>
  <c r="R22" i="16"/>
  <c r="N20" i="16"/>
  <c r="Q20" i="16"/>
  <c r="N22" i="16"/>
  <c r="N21" i="16"/>
  <c r="N30" i="1"/>
  <c r="N33" i="1"/>
  <c r="N32" i="1"/>
  <c r="N28" i="1"/>
  <c r="N14" i="1"/>
  <c r="N31" i="1"/>
  <c r="N15" i="1"/>
  <c r="N16" i="1"/>
  <c r="N17" i="1"/>
  <c r="N29" i="1"/>
  <c r="N21" i="1"/>
  <c r="N19" i="1"/>
  <c r="N18" i="1"/>
  <c r="N20" i="1"/>
  <c r="N26" i="1"/>
  <c r="N27" i="1"/>
  <c r="N12" i="1"/>
  <c r="N23" i="1"/>
  <c r="N4" i="1"/>
  <c r="N5" i="1"/>
  <c r="N25" i="1"/>
  <c r="N3" i="1"/>
  <c r="N2" i="1"/>
  <c r="N22" i="1"/>
  <c r="N24" i="1"/>
  <c r="N7" i="1"/>
  <c r="N8" i="1"/>
  <c r="N9" i="1"/>
  <c r="N6" i="1"/>
  <c r="N10" i="1"/>
  <c r="N13" i="1"/>
  <c r="N11" i="1"/>
  <c r="O22" i="16" l="1"/>
  <c r="P22" i="16"/>
  <c r="O20" i="16"/>
  <c r="P20" i="16"/>
  <c r="P21" i="16"/>
  <c r="O21" i="16"/>
  <c r="O31" i="1"/>
  <c r="O33" i="1"/>
  <c r="O32" i="1"/>
  <c r="O30" i="1"/>
  <c r="O16" i="1"/>
  <c r="O17" i="1"/>
  <c r="O14" i="1"/>
  <c r="O15" i="1"/>
  <c r="O20" i="1"/>
  <c r="O28" i="1"/>
  <c r="O18" i="1"/>
  <c r="O21" i="1"/>
  <c r="O19" i="1"/>
  <c r="O29" i="1"/>
  <c r="O26" i="1"/>
  <c r="O27" i="1"/>
  <c r="O22" i="1"/>
  <c r="O25" i="1"/>
  <c r="O23" i="1"/>
  <c r="O24" i="1"/>
  <c r="O2" i="1"/>
  <c r="O3" i="1"/>
  <c r="O5" i="1"/>
  <c r="O4" i="1"/>
  <c r="O6" i="1"/>
  <c r="O9" i="1"/>
  <c r="O8" i="1"/>
  <c r="O7" i="1"/>
  <c r="O11" i="1"/>
  <c r="O13" i="1"/>
  <c r="O12" i="1"/>
  <c r="O10" i="1"/>
  <c r="Q32" i="1" l="1"/>
  <c r="Q33" i="1"/>
  <c r="P32" i="1"/>
  <c r="Q31" i="1"/>
  <c r="Q30" i="1"/>
  <c r="P33" i="1"/>
  <c r="P30" i="1"/>
  <c r="P31" i="1"/>
  <c r="P17" i="1"/>
  <c r="Q17" i="1"/>
  <c r="P15" i="1"/>
  <c r="Q14" i="1"/>
  <c r="P16" i="1"/>
  <c r="P14" i="1"/>
  <c r="Q16" i="1"/>
  <c r="Q15" i="1"/>
  <c r="Q21" i="1"/>
  <c r="P20" i="1"/>
  <c r="Q29" i="1"/>
  <c r="P21" i="1"/>
  <c r="P26" i="1"/>
  <c r="Q19" i="1"/>
  <c r="Q18" i="1"/>
  <c r="P18" i="1"/>
  <c r="P19" i="1"/>
  <c r="Q20" i="1"/>
  <c r="P29" i="1"/>
  <c r="P28" i="1"/>
  <c r="Q28" i="1"/>
  <c r="Q26" i="1"/>
  <c r="P27" i="1"/>
  <c r="Q27" i="1"/>
  <c r="Q13" i="1"/>
  <c r="Q3" i="1"/>
  <c r="Q22" i="1"/>
  <c r="Q24" i="1"/>
  <c r="Q2" i="1"/>
  <c r="Q25" i="1"/>
  <c r="Q9" i="1"/>
  <c r="Q10" i="1"/>
  <c r="Q12" i="1"/>
  <c r="Q5" i="1"/>
  <c r="Q7" i="1"/>
  <c r="Q23" i="1"/>
  <c r="Q6" i="1"/>
  <c r="Q8" i="1"/>
  <c r="Q11" i="1"/>
  <c r="Q4" i="1"/>
  <c r="P22" i="1"/>
  <c r="P25" i="1"/>
  <c r="P24" i="1"/>
  <c r="P23" i="1"/>
  <c r="P2" i="1"/>
  <c r="P3" i="1"/>
  <c r="P5" i="1"/>
  <c r="P4" i="1"/>
  <c r="P9" i="1"/>
  <c r="P7" i="1"/>
  <c r="P8" i="1"/>
  <c r="P6" i="1"/>
  <c r="P11" i="1"/>
  <c r="P13" i="1"/>
  <c r="P12" i="1"/>
  <c r="P10" i="1"/>
  <c r="R30" i="1" l="1"/>
  <c r="S30" i="1" s="1"/>
  <c r="A30" i="1" s="1"/>
  <c r="R32" i="1"/>
  <c r="R31" i="1"/>
  <c r="R33" i="1"/>
  <c r="R17" i="1"/>
  <c r="R15" i="1"/>
  <c r="R14" i="1"/>
  <c r="S14" i="1" s="1"/>
  <c r="A14" i="1" s="1"/>
  <c r="R16" i="1"/>
  <c r="R10" i="1"/>
  <c r="R26" i="1"/>
  <c r="S26" i="1" s="1"/>
  <c r="A26" i="1" s="1"/>
  <c r="R21" i="1"/>
  <c r="R20" i="1"/>
  <c r="R29" i="1"/>
  <c r="R23" i="1"/>
  <c r="R19" i="1"/>
  <c r="R28" i="1"/>
  <c r="R18" i="1"/>
  <c r="S18" i="1" s="1"/>
  <c r="A18" i="1" s="1"/>
  <c r="R4" i="1"/>
  <c r="R27" i="1"/>
  <c r="R3" i="1"/>
  <c r="R13" i="1"/>
  <c r="R7" i="1"/>
  <c r="R22" i="1"/>
  <c r="R12" i="1"/>
  <c r="R5" i="1"/>
  <c r="R11" i="1"/>
  <c r="R8" i="1"/>
  <c r="R24" i="1"/>
  <c r="R25" i="1"/>
  <c r="R9" i="1"/>
  <c r="R6" i="1"/>
  <c r="S6" i="1" s="1"/>
  <c r="A6" i="1" s="1"/>
  <c r="R2" i="1"/>
  <c r="S2" i="1" s="1"/>
  <c r="A2" i="1" s="1"/>
  <c r="S32" i="1" l="1"/>
  <c r="A32" i="1" s="1"/>
  <c r="S31" i="1"/>
  <c r="A31" i="1" s="1"/>
  <c r="S33" i="1"/>
  <c r="A33" i="1" s="1"/>
  <c r="S15" i="1"/>
  <c r="A15" i="1" s="1"/>
  <c r="S23" i="1"/>
  <c r="A23" i="1" s="1"/>
  <c r="S16" i="1"/>
  <c r="A16" i="1" s="1"/>
  <c r="S17" i="1"/>
  <c r="A17" i="1" s="1"/>
  <c r="S11" i="1"/>
  <c r="A11" i="1" s="1"/>
  <c r="S27" i="1"/>
  <c r="A27" i="1" s="1"/>
  <c r="AG47" i="2" s="1"/>
  <c r="AM35" i="2"/>
  <c r="AH35" i="2"/>
  <c r="S21" i="1"/>
  <c r="A21" i="1" s="1"/>
  <c r="S20" i="1"/>
  <c r="A20" i="1" s="1"/>
  <c r="S19" i="1"/>
  <c r="A19" i="1" s="1"/>
  <c r="AF35" i="2" s="1"/>
  <c r="AE35" i="2"/>
  <c r="AG35" i="2"/>
  <c r="S29" i="1"/>
  <c r="A29" i="1" s="1"/>
  <c r="S28" i="1"/>
  <c r="A28" i="1" s="1"/>
  <c r="S25" i="1"/>
  <c r="A25" i="1" s="1"/>
  <c r="S22" i="1"/>
  <c r="A22" i="1" s="1"/>
  <c r="S24" i="1"/>
  <c r="A24" i="1" s="1"/>
  <c r="S9" i="1"/>
  <c r="A9" i="1" s="1"/>
  <c r="S8" i="1"/>
  <c r="A8" i="1" s="1"/>
  <c r="AL17" i="2" s="1"/>
  <c r="S4" i="1"/>
  <c r="A4" i="1" s="1"/>
  <c r="S3" i="1"/>
  <c r="A3" i="1" s="1"/>
  <c r="S5" i="1"/>
  <c r="A5" i="1" s="1"/>
  <c r="AI17" i="2"/>
  <c r="S7" i="1"/>
  <c r="A7" i="1" s="1"/>
  <c r="S13" i="1"/>
  <c r="A13" i="1" s="1"/>
  <c r="S12" i="1"/>
  <c r="A12" i="1" s="1"/>
  <c r="S10" i="1"/>
  <c r="A10" i="1" s="1"/>
  <c r="AL9" i="2"/>
  <c r="AH9" i="2"/>
  <c r="AM9" i="2"/>
  <c r="AJ9" i="2"/>
  <c r="AE9" i="2"/>
  <c r="AF9" i="2"/>
  <c r="AG9" i="2"/>
  <c r="AK9" i="2"/>
  <c r="AI9" i="2"/>
  <c r="AE27" i="2"/>
  <c r="AH27" i="2"/>
  <c r="AI27" i="2"/>
  <c r="AM27" i="2"/>
  <c r="AG27" i="2"/>
  <c r="AJ27" i="2"/>
  <c r="AK27" i="2"/>
  <c r="AL27" i="2"/>
  <c r="AF27" i="2"/>
  <c r="AG44" i="2"/>
  <c r="AJ44" i="2"/>
  <c r="AH44" i="2"/>
  <c r="AF44" i="2"/>
  <c r="AE44" i="2"/>
  <c r="AM44" i="2"/>
  <c r="AL44" i="2"/>
  <c r="AI44" i="2"/>
  <c r="AK44" i="2"/>
  <c r="AH17" i="2" l="1"/>
  <c r="AK17" i="2"/>
  <c r="AG17" i="2"/>
  <c r="AF17" i="2"/>
  <c r="AG10" i="2"/>
  <c r="AH11" i="1" s="1"/>
  <c r="AE17" i="2"/>
  <c r="AM17" i="2"/>
  <c r="AI35" i="2"/>
  <c r="AE16" i="2"/>
  <c r="AL35" i="2"/>
  <c r="AJ35" i="2"/>
  <c r="AJ29" i="2"/>
  <c r="AJ17" i="2"/>
  <c r="AK35" i="2"/>
  <c r="AI51" i="2"/>
  <c r="AL29" i="2"/>
  <c r="AM29" i="2"/>
  <c r="AK26" i="2"/>
  <c r="AK29" i="2"/>
  <c r="AF29" i="2"/>
  <c r="AF26" i="2"/>
  <c r="AE26" i="2"/>
  <c r="AH12" i="1" s="1"/>
  <c r="AI29" i="2"/>
  <c r="AH26" i="2"/>
  <c r="AF28" i="2"/>
  <c r="AJ26" i="2"/>
  <c r="AE28" i="2"/>
  <c r="AE29" i="2"/>
  <c r="AG26" i="2"/>
  <c r="AI26" i="2"/>
  <c r="AH29" i="2"/>
  <c r="AL26" i="2"/>
  <c r="AH28" i="2"/>
  <c r="AM26" i="2"/>
  <c r="AG29" i="2"/>
  <c r="AG28" i="2"/>
  <c r="AH5" i="1" s="1"/>
  <c r="AM28" i="2"/>
  <c r="AH39" i="2"/>
  <c r="AI28" i="2"/>
  <c r="AJ28" i="2"/>
  <c r="AL28" i="2"/>
  <c r="AK28" i="2"/>
  <c r="AK47" i="2"/>
  <c r="AE46" i="2"/>
  <c r="AJ23" i="2"/>
  <c r="AE34" i="2"/>
  <c r="AH47" i="2"/>
  <c r="AE47" i="2"/>
  <c r="AJ46" i="2"/>
  <c r="AF47" i="2"/>
  <c r="AM34" i="2"/>
  <c r="AM47" i="2"/>
  <c r="AI47" i="2"/>
  <c r="AL47" i="2"/>
  <c r="AJ47" i="2"/>
  <c r="AH41" i="2"/>
  <c r="AJ33" i="2"/>
  <c r="AJ34" i="2"/>
  <c r="AJ32" i="2"/>
  <c r="AM33" i="2"/>
  <c r="AK33" i="2"/>
  <c r="AG33" i="2"/>
  <c r="AF33" i="2"/>
  <c r="AM32" i="2"/>
  <c r="AH34" i="2"/>
  <c r="AE32" i="2"/>
  <c r="AG32" i="2"/>
  <c r="AL33" i="2"/>
  <c r="AK32" i="2"/>
  <c r="AL34" i="2"/>
  <c r="AI34" i="2"/>
  <c r="AI32" i="2"/>
  <c r="AF32" i="2"/>
  <c r="AH32" i="2"/>
  <c r="AK34" i="2"/>
  <c r="AG34" i="2"/>
  <c r="AE33" i="2"/>
  <c r="AH33" i="2"/>
  <c r="AM45" i="2"/>
  <c r="AF34" i="2"/>
  <c r="AI33" i="2"/>
  <c r="AL32" i="2"/>
  <c r="AL46" i="2"/>
  <c r="AK45" i="2"/>
  <c r="AI45" i="2"/>
  <c r="AG46" i="2"/>
  <c r="AI46" i="2"/>
  <c r="AG45" i="2"/>
  <c r="AH8" i="1" s="1"/>
  <c r="AM46" i="2"/>
  <c r="AK46" i="2"/>
  <c r="AE45" i="2"/>
  <c r="AF46" i="2"/>
  <c r="AL10" i="2"/>
  <c r="AH46" i="2"/>
  <c r="AH45" i="2"/>
  <c r="AF45" i="2"/>
  <c r="AJ45" i="2"/>
  <c r="AL45" i="2"/>
  <c r="AJ38" i="2"/>
  <c r="AJ39" i="2"/>
  <c r="AM40" i="2"/>
  <c r="AJ41" i="2"/>
  <c r="AG41" i="2"/>
  <c r="AL41" i="2"/>
  <c r="AM38" i="2"/>
  <c r="AE40" i="2"/>
  <c r="AF39" i="2"/>
  <c r="AE41" i="2"/>
  <c r="AE39" i="2"/>
  <c r="AI39" i="2"/>
  <c r="AE38" i="2"/>
  <c r="AF38" i="2"/>
  <c r="AJ40" i="2"/>
  <c r="AK41" i="2"/>
  <c r="AI41" i="2"/>
  <c r="AF40" i="2"/>
  <c r="AI38" i="2"/>
  <c r="AM10" i="2"/>
  <c r="AK39" i="2"/>
  <c r="AH38" i="2"/>
  <c r="AG38" i="2"/>
  <c r="AF10" i="2"/>
  <c r="AI40" i="2"/>
  <c r="AL40" i="2"/>
  <c r="AG39" i="2"/>
  <c r="AL39" i="2"/>
  <c r="AM41" i="2"/>
  <c r="AK38" i="2"/>
  <c r="AL38" i="2"/>
  <c r="AH40" i="2"/>
  <c r="AG40" i="2"/>
  <c r="AL11" i="2"/>
  <c r="AK10" i="2"/>
  <c r="AK40" i="2"/>
  <c r="AF41" i="2"/>
  <c r="AM39" i="2"/>
  <c r="AH16" i="2"/>
  <c r="AG14" i="2"/>
  <c r="AH15" i="2"/>
  <c r="AI23" i="2"/>
  <c r="AJ21" i="2"/>
  <c r="AK20" i="2"/>
  <c r="AJ8" i="2"/>
  <c r="AL16" i="2"/>
  <c r="AF20" i="2"/>
  <c r="AG22" i="2"/>
  <c r="AL15" i="2"/>
  <c r="AM21" i="2"/>
  <c r="AF15" i="2"/>
  <c r="AJ22" i="2"/>
  <c r="AF23" i="2"/>
  <c r="AL23" i="2"/>
  <c r="AI16" i="2"/>
  <c r="AE20" i="2"/>
  <c r="AG23" i="2"/>
  <c r="AM14" i="2"/>
  <c r="AM23" i="2"/>
  <c r="AI8" i="2"/>
  <c r="AH52" i="2"/>
  <c r="AJ16" i="2"/>
  <c r="AI15" i="2"/>
  <c r="AM20" i="2"/>
  <c r="AJ20" i="2"/>
  <c r="AK23" i="2"/>
  <c r="AL52" i="2"/>
  <c r="AG15" i="2"/>
  <c r="AM8" i="2"/>
  <c r="AK14" i="2"/>
  <c r="AF16" i="2"/>
  <c r="AM16" i="2"/>
  <c r="AK8" i="2"/>
  <c r="AJ15" i="2"/>
  <c r="AJ14" i="2"/>
  <c r="AH8" i="2"/>
  <c r="AL14" i="2"/>
  <c r="AI14" i="2"/>
  <c r="AE11" i="2"/>
  <c r="AG8" i="2"/>
  <c r="AI11" i="2"/>
  <c r="AJ11" i="2"/>
  <c r="AE8" i="2"/>
  <c r="AH2" i="1" s="1"/>
  <c r="AE15" i="2"/>
  <c r="AE14" i="2"/>
  <c r="AM15" i="2"/>
  <c r="AH14" i="2"/>
  <c r="AL22" i="2"/>
  <c r="AI10" i="2"/>
  <c r="AK11" i="2"/>
  <c r="AF11" i="2"/>
  <c r="AF8" i="2"/>
  <c r="AJ10" i="2"/>
  <c r="AL8" i="2"/>
  <c r="AE10" i="2"/>
  <c r="AH11" i="2"/>
  <c r="AG52" i="2"/>
  <c r="AF14" i="2"/>
  <c r="AL21" i="2"/>
  <c r="AG16" i="2"/>
  <c r="AH3" i="1" s="1"/>
  <c r="AH10" i="2"/>
  <c r="AG11" i="2"/>
  <c r="AM11" i="2"/>
  <c r="AK52" i="2"/>
  <c r="AK21" i="2"/>
  <c r="AI21" i="2"/>
  <c r="AE22" i="2"/>
  <c r="AK16" i="2"/>
  <c r="AF22" i="2"/>
  <c r="AK15" i="2"/>
  <c r="AM52" i="2"/>
  <c r="AH22" i="2"/>
  <c r="AF21" i="2"/>
  <c r="AH20" i="2"/>
  <c r="AE21" i="2"/>
  <c r="AM22" i="2"/>
  <c r="AK22" i="2"/>
  <c r="AL20" i="2"/>
  <c r="AG20" i="2"/>
  <c r="AI22" i="2"/>
  <c r="AI20" i="2"/>
  <c r="AE23" i="2"/>
  <c r="AH21" i="2"/>
  <c r="AH23" i="2"/>
  <c r="AG21" i="2"/>
  <c r="AJ52" i="2"/>
  <c r="AE52" i="2"/>
  <c r="AF52" i="2"/>
  <c r="AI52" i="2"/>
  <c r="AG51" i="2"/>
  <c r="AI53" i="2"/>
  <c r="AE51" i="2"/>
  <c r="AL51" i="2"/>
  <c r="AK50" i="2"/>
  <c r="AM51" i="2"/>
  <c r="AH50" i="2"/>
  <c r="AK53" i="2"/>
  <c r="AG50" i="2"/>
  <c r="AK51" i="2"/>
  <c r="AI50" i="2"/>
  <c r="AG53" i="2"/>
  <c r="AJ50" i="2"/>
  <c r="AJ53" i="2"/>
  <c r="AM53" i="2"/>
  <c r="AE53" i="2"/>
  <c r="AF51" i="2"/>
  <c r="AE50" i="2"/>
  <c r="AJ51" i="2"/>
  <c r="AF53" i="2"/>
  <c r="AM50" i="2"/>
  <c r="AH53" i="2"/>
  <c r="AL50" i="2"/>
  <c r="AH51" i="2"/>
  <c r="AL53" i="2"/>
  <c r="AF50" i="2"/>
  <c r="J19" i="9"/>
  <c r="AH7" i="14" l="1"/>
  <c r="AM7" i="14"/>
  <c r="AH15" i="1"/>
  <c r="S12" i="6" s="1"/>
  <c r="AH7" i="1"/>
  <c r="S8" i="6" s="1"/>
  <c r="AC18" i="6" s="1"/>
  <c r="AH17" i="1"/>
  <c r="S13" i="6" s="1"/>
  <c r="BC22" i="6" s="1"/>
  <c r="AH6" i="1"/>
  <c r="P8" i="6" s="1"/>
  <c r="P16" i="6" s="1"/>
  <c r="AG19" i="6" s="1"/>
  <c r="AH10" i="1"/>
  <c r="P10" i="6" s="1"/>
  <c r="AH14" i="1"/>
  <c r="P12" i="6" s="1"/>
  <c r="AH16" i="1"/>
  <c r="P13" i="6" s="1"/>
  <c r="BC21" i="6" s="1"/>
  <c r="AH9" i="1"/>
  <c r="S9" i="6" s="1"/>
  <c r="AC22" i="6" s="1"/>
  <c r="AH13" i="1"/>
  <c r="AH4" i="1"/>
  <c r="P7" i="6" s="1"/>
  <c r="AG19" i="1"/>
  <c r="AE8" i="14"/>
  <c r="S10" i="6"/>
  <c r="BC10" i="6" s="1"/>
  <c r="AL6" i="14"/>
  <c r="AJ6" i="14"/>
  <c r="AK6" i="14"/>
  <c r="AM9" i="14"/>
  <c r="AK9" i="14"/>
  <c r="AH6" i="14"/>
  <c r="AJ9" i="14"/>
  <c r="AE9" i="14"/>
  <c r="AF9" i="14"/>
  <c r="AG9" i="14"/>
  <c r="AH9" i="14"/>
  <c r="AF8" i="14"/>
  <c r="AK8" i="14"/>
  <c r="AJ8" i="14"/>
  <c r="AM6" i="14"/>
  <c r="AL9" i="14"/>
  <c r="AI8" i="14"/>
  <c r="AG8" i="14"/>
  <c r="AI9" i="14"/>
  <c r="AH8" i="14"/>
  <c r="AF7" i="14"/>
  <c r="AG7" i="14"/>
  <c r="AM8" i="14"/>
  <c r="AI7" i="14"/>
  <c r="AE7" i="14"/>
  <c r="AL7" i="14"/>
  <c r="AJ7" i="14"/>
  <c r="AI6" i="14"/>
  <c r="AF6" i="14"/>
  <c r="AE6" i="14"/>
  <c r="AK7" i="14"/>
  <c r="AL8" i="14"/>
  <c r="AG6" i="14"/>
  <c r="S7" i="6"/>
  <c r="AC14" i="6" s="1"/>
  <c r="P9" i="6"/>
  <c r="S16" i="6" s="1"/>
  <c r="S20" i="6" s="1"/>
  <c r="P11" i="6"/>
  <c r="P6" i="6"/>
  <c r="P15" i="6" s="1"/>
  <c r="S6" i="6"/>
  <c r="AC10" i="6" s="1"/>
  <c r="G20" i="9"/>
  <c r="G19" i="9"/>
  <c r="N12" i="16" l="1"/>
  <c r="S18" i="6"/>
  <c r="AY20" i="6" s="1"/>
  <c r="P18" i="6"/>
  <c r="AY19" i="6" s="1"/>
  <c r="P17" i="6"/>
  <c r="AG11" i="14"/>
  <c r="AL11" i="14"/>
  <c r="AI11" i="14"/>
  <c r="AK11" i="14"/>
  <c r="AH11" i="14"/>
  <c r="AM11" i="14"/>
  <c r="AJ11" i="14"/>
  <c r="AF11" i="14"/>
  <c r="AC21" i="6"/>
  <c r="L14" i="6"/>
  <c r="S11" i="6"/>
  <c r="S17" i="6" s="1"/>
  <c r="AY12" i="6" s="1"/>
  <c r="AC13" i="6"/>
  <c r="S15" i="6"/>
  <c r="AC17" i="6"/>
  <c r="BC13" i="6"/>
  <c r="BC18" i="6"/>
  <c r="BC17" i="6"/>
  <c r="BC9" i="6"/>
  <c r="AC9" i="6"/>
  <c r="L6" i="6"/>
  <c r="AG20" i="6"/>
  <c r="AG11" i="6"/>
  <c r="J20" i="9"/>
  <c r="Q12" i="16" l="1"/>
  <c r="O13" i="16" s="1"/>
  <c r="P21" i="6"/>
  <c r="S25" i="6" s="1"/>
  <c r="AO16" i="6" s="1"/>
  <c r="S21" i="6"/>
  <c r="AY11" i="6"/>
  <c r="AG12" i="6"/>
  <c r="BC14" i="6"/>
  <c r="L7" i="6"/>
  <c r="P20" i="6"/>
  <c r="AK16" i="6"/>
  <c r="G21" i="9"/>
  <c r="J21" i="9"/>
  <c r="AP12" i="6" l="1"/>
  <c r="E13" i="16"/>
  <c r="S23" i="6"/>
  <c r="B14" i="16"/>
  <c r="E14" i="16"/>
  <c r="Q13" i="16"/>
  <c r="O12" i="16"/>
  <c r="P13" i="16"/>
  <c r="P14" i="16"/>
  <c r="O14" i="16"/>
  <c r="P12" i="16"/>
  <c r="N13" i="16"/>
  <c r="AU15" i="6"/>
  <c r="AU16" i="6"/>
  <c r="L8" i="6"/>
  <c r="P25" i="6"/>
  <c r="AO15" i="6" s="1"/>
  <c r="P23" i="6"/>
  <c r="AK15" i="6"/>
  <c r="J22" i="9"/>
  <c r="G22" i="9"/>
  <c r="Q14" i="16" l="1"/>
  <c r="E12" i="16"/>
  <c r="AP20" i="6"/>
  <c r="B13" i="16"/>
  <c r="D13" i="16" s="1"/>
  <c r="AO17" i="6"/>
  <c r="C14" i="16"/>
  <c r="D14" i="16"/>
  <c r="N14" i="16"/>
  <c r="AP19" i="6"/>
  <c r="B12" i="16"/>
  <c r="AP11" i="6"/>
  <c r="L9" i="6"/>
  <c r="L12" i="6"/>
  <c r="L15" i="6"/>
  <c r="L18" i="6"/>
  <c r="C13" i="16" l="1"/>
  <c r="L11" i="6"/>
  <c r="L10" i="6"/>
  <c r="C12" i="16"/>
  <c r="D12" i="16"/>
  <c r="L17" i="6"/>
  <c r="L21" i="6" s="1"/>
  <c r="L13" i="6" l="1"/>
  <c r="L16" i="6"/>
  <c r="L20" i="6" l="1"/>
  <c r="L23" i="6"/>
  <c r="L25" i="6" l="1"/>
  <c r="I18" i="7" s="1"/>
  <c r="H14" i="7"/>
  <c r="N14" i="7"/>
  <c r="I16" i="7"/>
  <c r="H16" i="7"/>
  <c r="J12" i="7"/>
  <c r="G16" i="7"/>
  <c r="H12" i="7"/>
  <c r="G12" i="7"/>
  <c r="I12" i="7"/>
  <c r="J14" i="7"/>
  <c r="M12" i="7" l="1"/>
  <c r="J16" i="7"/>
  <c r="G15" i="7" s="1"/>
  <c r="M16" i="7"/>
  <c r="N16" i="7"/>
  <c r="G14" i="7"/>
  <c r="G13" i="7" s="1"/>
  <c r="I14" i="7"/>
  <c r="N12" i="7"/>
  <c r="M14" i="7"/>
  <c r="H18" i="7"/>
  <c r="N18" i="7"/>
  <c r="J18" i="7"/>
  <c r="M18" i="7"/>
  <c r="G18" i="7"/>
  <c r="G11" i="7"/>
  <c r="G17" i="7" l="1"/>
  <c r="M11" i="7" l="1"/>
  <c r="M15" i="7"/>
  <c r="M13" i="7"/>
  <c r="M17" i="7"/>
  <c r="O12" i="7"/>
  <c r="O14" i="7"/>
  <c r="N17" i="7"/>
  <c r="O17" i="7" s="1"/>
  <c r="P17" i="7" s="1"/>
  <c r="Q17" i="7" s="1"/>
  <c r="N15" i="7"/>
  <c r="O15" i="7" s="1"/>
  <c r="P15" i="7" s="1"/>
  <c r="Q15" i="7" s="1"/>
  <c r="O10" i="7"/>
  <c r="O7" i="7"/>
  <c r="P7" i="7" s="1"/>
  <c r="Q7" i="7" s="1"/>
  <c r="O18" i="7"/>
  <c r="N11" i="7"/>
  <c r="O11" i="7" s="1"/>
  <c r="P11" i="7" s="1"/>
  <c r="Q11" i="7" s="1"/>
  <c r="O16" i="7"/>
  <c r="N13" i="7"/>
  <c r="O13" i="7" s="1"/>
  <c r="P13" i="7" s="1"/>
  <c r="Q13" i="7" s="1"/>
  <c r="O9" i="7"/>
  <c r="O8" i="7"/>
  <c r="P10" i="7" l="1"/>
  <c r="P8" i="7"/>
  <c r="P9" i="7"/>
  <c r="P12" i="7"/>
  <c r="P14" i="7"/>
  <c r="P16" i="7"/>
  <c r="P18" i="7"/>
  <c r="Q14" i="7" l="1"/>
  <c r="Q8" i="7"/>
  <c r="Q10" i="7"/>
  <c r="Q16" i="7"/>
  <c r="Q9" i="7"/>
  <c r="Q18" i="7"/>
  <c r="Q12" i="7"/>
  <c r="N6" i="16" l="1"/>
  <c r="R6" i="16"/>
  <c r="N5" i="16"/>
  <c r="R5" i="16"/>
  <c r="Q5" i="16"/>
  <c r="N4" i="16"/>
  <c r="Q6" i="16"/>
  <c r="R4" i="16"/>
  <c r="Q4" i="16"/>
  <c r="O6" i="16" l="1"/>
  <c r="P6" i="16"/>
  <c r="O4" i="16"/>
  <c r="P4" i="16"/>
  <c r="P5" i="16"/>
  <c r="O5" i="16"/>
</calcChain>
</file>

<file path=xl/comments1.xml><?xml version="1.0" encoding="utf-8"?>
<comments xmlns="http://schemas.openxmlformats.org/spreadsheetml/2006/main">
  <authors>
    <author>Autor</author>
  </authors>
  <commentList>
    <comment ref="N2" authorId="0" shapeId="0">
      <text>
        <r>
          <rPr>
            <b/>
            <sz val="9"/>
            <color indexed="81"/>
            <rFont val="Tahoma"/>
            <family val="2"/>
          </rPr>
          <t>Autor:</t>
        </r>
        <r>
          <rPr>
            <sz val="9"/>
            <color indexed="81"/>
            <rFont val="Tahoma"/>
            <family val="2"/>
          </rPr>
          <t xml:space="preserve">
Copiar esta columna y las de la derecha de 4 en 4</t>
        </r>
      </text>
    </comment>
    <comment ref="W2" authorId="0" shapeId="0">
      <text>
        <r>
          <rPr>
            <b/>
            <sz val="9"/>
            <color indexed="81"/>
            <rFont val="Tahoma"/>
            <family val="2"/>
          </rPr>
          <t>Autor:</t>
        </r>
        <r>
          <rPr>
            <sz val="9"/>
            <color indexed="81"/>
            <rFont val="Tahoma"/>
            <family val="2"/>
          </rPr>
          <t xml:space="preserve">
Diferente</t>
        </r>
      </text>
    </comment>
    <comment ref="Z2" authorId="0" shapeId="0">
      <text>
        <r>
          <rPr>
            <b/>
            <sz val="9"/>
            <color indexed="81"/>
            <rFont val="Tahoma"/>
            <family val="2"/>
          </rPr>
          <t>Autor:</t>
        </r>
        <r>
          <rPr>
            <sz val="9"/>
            <color indexed="81"/>
            <rFont val="Tahoma"/>
            <family val="2"/>
          </rPr>
          <t xml:space="preserve">
Diferente</t>
        </r>
      </text>
    </comment>
    <comment ref="W3" authorId="0" shapeId="0">
      <text>
        <r>
          <rPr>
            <b/>
            <sz val="9"/>
            <color indexed="81"/>
            <rFont val="Tahoma"/>
            <family val="2"/>
          </rPr>
          <t>Autor:</t>
        </r>
        <r>
          <rPr>
            <sz val="9"/>
            <color indexed="81"/>
            <rFont val="Tahoma"/>
            <family val="2"/>
          </rPr>
          <t xml:space="preserve">
Diferente</t>
        </r>
      </text>
    </comment>
    <comment ref="Z3" authorId="0" shapeId="0">
      <text>
        <r>
          <rPr>
            <b/>
            <sz val="9"/>
            <color indexed="81"/>
            <rFont val="Tahoma"/>
            <family val="2"/>
          </rPr>
          <t>Autor:</t>
        </r>
        <r>
          <rPr>
            <sz val="9"/>
            <color indexed="81"/>
            <rFont val="Tahoma"/>
            <family val="2"/>
          </rPr>
          <t xml:space="preserve">
Diferente</t>
        </r>
      </text>
    </comment>
    <comment ref="N6" authorId="0" shapeId="0">
      <text>
        <r>
          <rPr>
            <b/>
            <sz val="9"/>
            <color indexed="81"/>
            <rFont val="Tahoma"/>
            <family val="2"/>
          </rPr>
          <t>Autor:</t>
        </r>
        <r>
          <rPr>
            <sz val="9"/>
            <color indexed="81"/>
            <rFont val="Tahoma"/>
            <family val="2"/>
          </rPr>
          <t xml:space="preserve">
Copiar esta columna y las de la derecha de 4 en 4</t>
        </r>
      </text>
    </comment>
    <comment ref="N10" authorId="0" shapeId="0">
      <text>
        <r>
          <rPr>
            <b/>
            <sz val="9"/>
            <color indexed="81"/>
            <rFont val="Tahoma"/>
            <family val="2"/>
          </rPr>
          <t>Autor:</t>
        </r>
        <r>
          <rPr>
            <sz val="9"/>
            <color indexed="81"/>
            <rFont val="Tahoma"/>
            <family val="2"/>
          </rPr>
          <t xml:space="preserve">
Copiar esta columna y las de la derecha de 4 en 4</t>
        </r>
      </text>
    </comment>
    <comment ref="N14" authorId="0" shapeId="0">
      <text>
        <r>
          <rPr>
            <b/>
            <sz val="9"/>
            <color indexed="81"/>
            <rFont val="Tahoma"/>
            <family val="2"/>
          </rPr>
          <t>Autor:</t>
        </r>
        <r>
          <rPr>
            <sz val="9"/>
            <color indexed="81"/>
            <rFont val="Tahoma"/>
            <family val="2"/>
          </rPr>
          <t xml:space="preserve">
Copiar esta columna y las de la derecha de 4 en 4</t>
        </r>
      </text>
    </comment>
    <comment ref="V14" authorId="0" shapeId="0">
      <text>
        <r>
          <rPr>
            <b/>
            <sz val="9"/>
            <color indexed="81"/>
            <rFont val="Tahoma"/>
            <family val="2"/>
          </rPr>
          <t>Autor:</t>
        </r>
        <r>
          <rPr>
            <sz val="9"/>
            <color indexed="81"/>
            <rFont val="Tahoma"/>
            <family val="2"/>
          </rPr>
          <t xml:space="preserve">
Diferente</t>
        </r>
      </text>
    </comment>
    <comment ref="N18" authorId="0" shapeId="0">
      <text>
        <r>
          <rPr>
            <b/>
            <sz val="9"/>
            <color indexed="81"/>
            <rFont val="Tahoma"/>
            <family val="2"/>
          </rPr>
          <t>Autor:</t>
        </r>
        <r>
          <rPr>
            <sz val="9"/>
            <color indexed="81"/>
            <rFont val="Tahoma"/>
            <family val="2"/>
          </rPr>
          <t xml:space="preserve">
Copiar esta columna y las de la derecha de 4 en 4</t>
        </r>
      </text>
    </comment>
    <comment ref="N22" authorId="0" shapeId="0">
      <text>
        <r>
          <rPr>
            <b/>
            <sz val="9"/>
            <color indexed="81"/>
            <rFont val="Tahoma"/>
            <family val="2"/>
          </rPr>
          <t>Autor:</t>
        </r>
        <r>
          <rPr>
            <sz val="9"/>
            <color indexed="81"/>
            <rFont val="Tahoma"/>
            <family val="2"/>
          </rPr>
          <t xml:space="preserve">
Copiar esta columna y las de la derecha de 4 en 4</t>
        </r>
      </text>
    </comment>
    <comment ref="N26" authorId="0" shapeId="0">
      <text>
        <r>
          <rPr>
            <b/>
            <sz val="9"/>
            <color indexed="81"/>
            <rFont val="Tahoma"/>
            <family val="2"/>
          </rPr>
          <t>Autor:</t>
        </r>
        <r>
          <rPr>
            <sz val="9"/>
            <color indexed="81"/>
            <rFont val="Tahoma"/>
            <family val="2"/>
          </rPr>
          <t xml:space="preserve">
Copiar esta columna y las de la derecha de 4 en 4</t>
        </r>
      </text>
    </comment>
    <comment ref="N30" authorId="0" shapeId="0">
      <text>
        <r>
          <rPr>
            <b/>
            <sz val="9"/>
            <color indexed="81"/>
            <rFont val="Tahoma"/>
            <family val="2"/>
          </rPr>
          <t>Autor:</t>
        </r>
        <r>
          <rPr>
            <sz val="9"/>
            <color indexed="81"/>
            <rFont val="Tahoma"/>
            <family val="2"/>
          </rPr>
          <t xml:space="preserve">
Copiar esta columna y las de la derecha de 4 en 4</t>
        </r>
      </text>
    </comment>
  </commentList>
</comments>
</file>

<file path=xl/comments2.xml><?xml version="1.0" encoding="utf-8"?>
<comments xmlns="http://schemas.openxmlformats.org/spreadsheetml/2006/main">
  <authors>
    <author>Autor</author>
  </authors>
  <commentList>
    <comment ref="B1" authorId="0" shapeId="0">
      <text>
        <r>
          <rPr>
            <b/>
            <sz val="9"/>
            <color indexed="81"/>
            <rFont val="Tahoma"/>
            <family val="2"/>
          </rPr>
          <t>Autor:</t>
        </r>
        <r>
          <rPr>
            <sz val="9"/>
            <color indexed="81"/>
            <rFont val="Tahoma"/>
            <family val="2"/>
          </rPr>
          <t xml:space="preserve">
Zoma horaria del país que acoge el campeonato</t>
        </r>
      </text>
    </comment>
    <comment ref="C1" authorId="0" shapeId="0">
      <text>
        <r>
          <rPr>
            <b/>
            <sz val="9"/>
            <color indexed="81"/>
            <rFont val="Tahoma"/>
            <family val="2"/>
          </rPr>
          <t>Autor:</t>
        </r>
        <r>
          <rPr>
            <sz val="9"/>
            <color indexed="81"/>
            <rFont val="Tahoma"/>
            <family val="2"/>
          </rPr>
          <t xml:space="preserve">
Zoma horaria elegida por el usuario</t>
        </r>
      </text>
    </comment>
  </commentList>
</comments>
</file>

<file path=xl/comments3.xml><?xml version="1.0" encoding="utf-8"?>
<comments xmlns="http://schemas.openxmlformats.org/spreadsheetml/2006/main">
  <authors>
    <author>Autor</author>
  </authors>
  <commentList>
    <comment ref="D6" authorId="0" shapeId="0">
      <text>
        <r>
          <rPr>
            <b/>
            <sz val="9"/>
            <color indexed="81"/>
            <rFont val="Tahoma"/>
            <family val="2"/>
          </rPr>
          <t>Gsamartin:</t>
        </r>
        <r>
          <rPr>
            <sz val="9"/>
            <color indexed="81"/>
            <rFont val="Tahoma"/>
            <family val="2"/>
          </rPr>
          <t xml:space="preserve">
¡Diferente a las demás!</t>
        </r>
      </text>
    </comment>
  </commentList>
</comments>
</file>

<file path=xl/comments4.xml><?xml version="1.0" encoding="utf-8"?>
<comments xmlns="http://schemas.openxmlformats.org/spreadsheetml/2006/main">
  <authors>
    <author>Autor</author>
  </authors>
  <commentList>
    <comment ref="D6" authorId="0" shapeId="0">
      <text>
        <r>
          <rPr>
            <b/>
            <sz val="9"/>
            <color indexed="81"/>
            <rFont val="Tahoma"/>
            <family val="2"/>
          </rPr>
          <t>Gsamartin:</t>
        </r>
        <r>
          <rPr>
            <sz val="9"/>
            <color indexed="81"/>
            <rFont val="Tahoma"/>
            <family val="2"/>
          </rPr>
          <t xml:space="preserve">
¡Diferente a las demás!</t>
        </r>
      </text>
    </comment>
  </commentList>
</comments>
</file>

<file path=xl/sharedStrings.xml><?xml version="1.0" encoding="utf-8"?>
<sst xmlns="http://schemas.openxmlformats.org/spreadsheetml/2006/main" count="723" uniqueCount="507">
  <si>
    <t>G</t>
  </si>
  <si>
    <t>Español</t>
  </si>
  <si>
    <t>º del grupo</t>
  </si>
  <si>
    <t>Rusia</t>
  </si>
  <si>
    <t>Arabia Saudita</t>
  </si>
  <si>
    <t>Egipto</t>
  </si>
  <si>
    <t>Uruguay</t>
  </si>
  <si>
    <t>Marruecos</t>
  </si>
  <si>
    <t>Irán</t>
  </si>
  <si>
    <t>Portugal</t>
  </si>
  <si>
    <t>España</t>
  </si>
  <si>
    <t>Francia</t>
  </si>
  <si>
    <t>Australia</t>
  </si>
  <si>
    <t>Perú</t>
  </si>
  <si>
    <t>Dinamarca</t>
  </si>
  <si>
    <t>Argentina</t>
  </si>
  <si>
    <t>Islandia</t>
  </si>
  <si>
    <t>Croacia</t>
  </si>
  <si>
    <t>Nigeria</t>
  </si>
  <si>
    <t>Costa Rica</t>
  </si>
  <si>
    <t>Serbia</t>
  </si>
  <si>
    <t>Brasil</t>
  </si>
  <si>
    <t>Suiza</t>
  </si>
  <si>
    <t>Alemania</t>
  </si>
  <si>
    <t>México</t>
  </si>
  <si>
    <t>Suecia</t>
  </si>
  <si>
    <t>Corea del Sur</t>
  </si>
  <si>
    <t>Bélgica</t>
  </si>
  <si>
    <t>Panamá</t>
  </si>
  <si>
    <t>Túnez</t>
  </si>
  <si>
    <t>Inglaterra</t>
  </si>
  <si>
    <t>Colombia</t>
  </si>
  <si>
    <t>Japón</t>
  </si>
  <si>
    <t>Polonia</t>
  </si>
  <si>
    <t>Senegal</t>
  </si>
  <si>
    <t>Código</t>
  </si>
  <si>
    <t>Grupo</t>
  </si>
  <si>
    <t>Sorteo</t>
  </si>
  <si>
    <t>Equipo</t>
  </si>
  <si>
    <t>Pts</t>
  </si>
  <si>
    <t>PJ</t>
  </si>
  <si>
    <t>PG</t>
  </si>
  <si>
    <t>PE</t>
  </si>
  <si>
    <t>PP</t>
  </si>
  <si>
    <t>GF</t>
  </si>
  <si>
    <t>GC</t>
  </si>
  <si>
    <t>Dif</t>
  </si>
  <si>
    <t>Jerarquia</t>
  </si>
  <si>
    <t>Jerarquia Provisional</t>
  </si>
  <si>
    <t>Contar Si</t>
  </si>
  <si>
    <t>Ranking</t>
  </si>
  <si>
    <t>Vacío (por config)</t>
  </si>
  <si>
    <t>Jor.</t>
  </si>
  <si>
    <t>Partido</t>
  </si>
  <si>
    <t>Jugado</t>
  </si>
  <si>
    <t>Ganador</t>
  </si>
  <si>
    <t>Estadio</t>
  </si>
  <si>
    <t>Horario</t>
  </si>
  <si>
    <t>Calendario</t>
  </si>
  <si>
    <t>Num vueltas</t>
  </si>
  <si>
    <t>Penaltis</t>
  </si>
  <si>
    <t>Num equipos</t>
  </si>
  <si>
    <t>Abreviatura</t>
  </si>
  <si>
    <t>Grupos</t>
  </si>
  <si>
    <t>Ronda 1</t>
  </si>
  <si>
    <t>O</t>
  </si>
  <si>
    <t>Ronda 2</t>
  </si>
  <si>
    <t>C</t>
  </si>
  <si>
    <t>Ronda 3</t>
  </si>
  <si>
    <t>S</t>
  </si>
  <si>
    <t>Ronda 4</t>
  </si>
  <si>
    <t>F</t>
  </si>
  <si>
    <t>Ronda 5</t>
  </si>
  <si>
    <t>Ronda 6</t>
  </si>
  <si>
    <t>Ronda 7</t>
  </si>
  <si>
    <t>Ronda 8</t>
  </si>
  <si>
    <t>Ronda 9</t>
  </si>
  <si>
    <t>NumEquipos</t>
  </si>
  <si>
    <t>Num Jornadas</t>
  </si>
  <si>
    <t>Num Partidos</t>
  </si>
  <si>
    <t>Clasifican</t>
  </si>
  <si>
    <t>Selección</t>
  </si>
  <si>
    <t>Fair Play</t>
  </si>
  <si>
    <t>O1</t>
  </si>
  <si>
    <t>O2</t>
  </si>
  <si>
    <t>O4</t>
  </si>
  <si>
    <t>O6</t>
  </si>
  <si>
    <t>O8</t>
  </si>
  <si>
    <t>O3</t>
  </si>
  <si>
    <t>O5</t>
  </si>
  <si>
    <t>O7</t>
  </si>
  <si>
    <t>O9</t>
  </si>
  <si>
    <t>O10</t>
  </si>
  <si>
    <t>O11</t>
  </si>
  <si>
    <t>O12</t>
  </si>
  <si>
    <t>O13</t>
  </si>
  <si>
    <t>O14</t>
  </si>
  <si>
    <t>O15</t>
  </si>
  <si>
    <t>O16</t>
  </si>
  <si>
    <t>CA1</t>
  </si>
  <si>
    <t>CA2</t>
  </si>
  <si>
    <t>CA3</t>
  </si>
  <si>
    <t>CA4</t>
  </si>
  <si>
    <t>CB1</t>
  </si>
  <si>
    <t>CB2</t>
  </si>
  <si>
    <t>CB3</t>
  </si>
  <si>
    <t>CB4</t>
  </si>
  <si>
    <t>CC1</t>
  </si>
  <si>
    <t>CC2</t>
  </si>
  <si>
    <t>CC3</t>
  </si>
  <si>
    <t>CD1</t>
  </si>
  <si>
    <t>CD2</t>
  </si>
  <si>
    <t>CD3</t>
  </si>
  <si>
    <t>CE1</t>
  </si>
  <si>
    <t>CE2</t>
  </si>
  <si>
    <t>CE3</t>
  </si>
  <si>
    <t>CF1</t>
  </si>
  <si>
    <t>CF2</t>
  </si>
  <si>
    <t>CF3</t>
  </si>
  <si>
    <t>CG1</t>
  </si>
  <si>
    <t>CG2</t>
  </si>
  <si>
    <t>CG3</t>
  </si>
  <si>
    <t>CH1</t>
  </si>
  <si>
    <t>CH2</t>
  </si>
  <si>
    <t>CH3</t>
  </si>
  <si>
    <t>=SI(BUSCAR(AF2;Calendario!$W$4:$W$49;Calendario!$Z$4:$Z$49)&gt;((BUSCAR(AE2;$V$14:$V$27;$X$14:$X$27)-BUSCAR(AF2;Calendario!$W$4:$W$49;Calendario!$AA$4:$AA$49))*3+BUSCAR("C"&amp;CARACTER(AE2)&amp;(AD2+1);Calendario!$W$4:$W$49;Calendario!$Z$4:$Z$49));BUSCAR(AF2;Calendario!$W$4:$W$49;Calendario!$Y$4:$Y$49); AD2 &amp; Traduccion!$B$2 &amp; " " &amp; CARACTER(Config!AE2))</t>
  </si>
  <si>
    <t>Semifinales</t>
  </si>
  <si>
    <t>Final</t>
  </si>
  <si>
    <t>T</t>
  </si>
  <si>
    <t>Tercer y Cuarto Puesto</t>
  </si>
  <si>
    <t>Fase de Grupos</t>
  </si>
  <si>
    <t>Equipos</t>
  </si>
  <si>
    <t>Estadios</t>
  </si>
  <si>
    <t>CC4</t>
  </si>
  <si>
    <t>CD4</t>
  </si>
  <si>
    <t>CE4</t>
  </si>
  <si>
    <t>CF4</t>
  </si>
  <si>
    <t>CG4</t>
  </si>
  <si>
    <t>CH4</t>
  </si>
  <si>
    <t>Ciudad</t>
  </si>
  <si>
    <t>Capacidad</t>
  </si>
  <si>
    <t>Foto</t>
  </si>
  <si>
    <t>Año</t>
  </si>
  <si>
    <t>Otkrytie Arena</t>
  </si>
  <si>
    <t>Estadio Krevstoski</t>
  </si>
  <si>
    <t>Estadio de Kaliningrado</t>
  </si>
  <si>
    <t>Estadio Nizhni Nóvgorod</t>
  </si>
  <si>
    <t>Volgogrado Arena</t>
  </si>
  <si>
    <t>Ekaterimburgo Arena</t>
  </si>
  <si>
    <t>Estadio Fisht</t>
  </si>
  <si>
    <t>Rostov Arena</t>
  </si>
  <si>
    <t>Mordovia Arena</t>
  </si>
  <si>
    <t>Samara Arena</t>
  </si>
  <si>
    <t>Kazán Arena</t>
  </si>
  <si>
    <t>Moscú</t>
  </si>
  <si>
    <t>San Petesburgo</t>
  </si>
  <si>
    <t>Kaliningrado</t>
  </si>
  <si>
    <t>Nizhni Nóvgorod</t>
  </si>
  <si>
    <t>Volgogrado</t>
  </si>
  <si>
    <t>Ekaterimburgo</t>
  </si>
  <si>
    <t>Samara</t>
  </si>
  <si>
    <t>Kazán</t>
  </si>
  <si>
    <t>Sochi</t>
  </si>
  <si>
    <t>Saransk</t>
  </si>
  <si>
    <t>Rostov del Don</t>
  </si>
  <si>
    <t>Estadio Olímpico Luzhniki</t>
  </si>
  <si>
    <t>espectadores</t>
  </si>
  <si>
    <t>Fase Final</t>
  </si>
  <si>
    <t>We add a space for reason of configuration (easier to copy and past in FaseFinal sheet)</t>
  </si>
  <si>
    <t>Cuadro de honor</t>
  </si>
  <si>
    <t>Seleccionador</t>
  </si>
  <si>
    <t>Participaciones</t>
  </si>
  <si>
    <t>Títulos</t>
  </si>
  <si>
    <t>Mejor Posición</t>
  </si>
  <si>
    <t>Bandera</t>
  </si>
  <si>
    <t>Stanislav Cherchésov</t>
  </si>
  <si>
    <t>Joachim Löw</t>
  </si>
  <si>
    <t>Fernando Hierro</t>
  </si>
  <si>
    <t>Fernando Santos</t>
  </si>
  <si>
    <t>Tite</t>
  </si>
  <si>
    <t>Jorge Sampaoli</t>
  </si>
  <si>
    <t>Roberto Martínez</t>
  </si>
  <si>
    <t>Adam Nawalka</t>
  </si>
  <si>
    <t>Didier Deschamps</t>
  </si>
  <si>
    <t>Ricardo Gareca</t>
  </si>
  <si>
    <t>Vladimir Petkovic</t>
  </si>
  <si>
    <t>Gareth Southgate</t>
  </si>
  <si>
    <t>José Pékerman</t>
  </si>
  <si>
    <t>Juan Carlos Osorio</t>
  </si>
  <si>
    <t>Washington Tabárez</t>
  </si>
  <si>
    <t>Ante Cacic</t>
  </si>
  <si>
    <t>Age Hareide</t>
  </si>
  <si>
    <t>Heimir Hallgrímsson</t>
  </si>
  <si>
    <t>Óscar Ramírez</t>
  </si>
  <si>
    <t>Jan Andersson</t>
  </si>
  <si>
    <t>Nabil Maaloul</t>
  </si>
  <si>
    <t>Héctor Cúper</t>
  </si>
  <si>
    <t>Aliou Cissé</t>
  </si>
  <si>
    <t>Carlos Quieroz</t>
  </si>
  <si>
    <t>Slavoljub Muslin</t>
  </si>
  <si>
    <t>Salisu Yusuf</t>
  </si>
  <si>
    <t>Ange Postecoglou</t>
  </si>
  <si>
    <t>Vahid Halilhodzic</t>
  </si>
  <si>
    <t>Hervé Renard</t>
  </si>
  <si>
    <t>Hernán Darío Gómez</t>
  </si>
  <si>
    <t>Shin Tae-Yong</t>
  </si>
  <si>
    <t>Juan Antonio Pizzi</t>
  </si>
  <si>
    <t>estadios_final</t>
  </si>
  <si>
    <t>estadios_grupos</t>
  </si>
  <si>
    <t>estadios_final_cnf</t>
  </si>
  <si>
    <t>estadios_grupos_cnf</t>
  </si>
  <si>
    <t>Años Títulos</t>
  </si>
  <si>
    <t>1930;1950</t>
  </si>
  <si>
    <t>Años Mejor Posición</t>
  </si>
  <si>
    <t>Ronda</t>
  </si>
  <si>
    <t>Selección a Selección</t>
  </si>
  <si>
    <t>Sedes</t>
  </si>
  <si>
    <t>Modificar puntos de juego limpio</t>
  </si>
  <si>
    <t>Lista Dinámica</t>
  </si>
  <si>
    <t>Promedio</t>
  </si>
  <si>
    <t>1958; 1962; 1970; 1994; 2002</t>
  </si>
  <si>
    <t>1978; 1986</t>
  </si>
  <si>
    <t>1930; 1950</t>
  </si>
  <si>
    <t>1954; 1974; 1990; 2014</t>
  </si>
  <si>
    <t>selección</t>
  </si>
  <si>
    <t>grupo</t>
  </si>
  <si>
    <t>sede</t>
  </si>
  <si>
    <t>Juego Limpio</t>
  </si>
  <si>
    <t>Instrucciones</t>
  </si>
  <si>
    <t>Volver</t>
  </si>
  <si>
    <t>Esta hoja es de complementación voluntaria, su único fin es lograr un correcto desempate de los grupos.
Puede ser usada como ajuste manual.</t>
  </si>
  <si>
    <t>Puntos Juego Limpio</t>
  </si>
  <si>
    <t>-1 pt</t>
  </si>
  <si>
    <t>-3 pts</t>
  </si>
  <si>
    <t>-4 pts</t>
  </si>
  <si>
    <t>-5 pts</t>
  </si>
  <si>
    <t>Copa del Mundo - Rusia 2018</t>
  </si>
  <si>
    <t>Licencia</t>
  </si>
  <si>
    <t>1930; 1962</t>
  </si>
  <si>
    <t>Incluye Yugoslavia y Serbia y Montenegro</t>
  </si>
  <si>
    <t>1970; 1986</t>
  </si>
  <si>
    <t>¡Gracias por descargar la hoja de cálculo del Mundial 2018 hecha por Gsamartin!</t>
  </si>
  <si>
    <t>Versión</t>
  </si>
  <si>
    <t>Puedes modificar, copiar y compartir esta hoja siempre que me la atribuyas, lo hagas gratuitamente y bajo esta licencia (Creative Commons Reconocimiento-NoComercial-CompartirIgual 4.0 Unported).</t>
  </si>
  <si>
    <t>Hoja en la que se presentan todos los emparejamientos de la primera fase, ordenados cronológicamente, en forma de calendario. En función del resultado del partido, las selecciones contrincantes adquirirán distintos colores. En ella deben introducirse los resultados. Incluye la clasificación de todos los grupos.</t>
  </si>
  <si>
    <t>Otros</t>
  </si>
  <si>
    <t>Hoja con un calendario de los partidos de las eliminatorias, en el que introducir los resultados. Los equipos se marcan con colores en función del resultado. Posee además, un cuadro resumen de las eliminatorias.</t>
  </si>
  <si>
    <t>Visión general del paso por el Mundial de cada selección: sus partidos, los estadios en los que ha jugado…Se aportan además datos como el seleccionador o el mejor resultado obtenido por dicha nación.</t>
  </si>
  <si>
    <t>Hoja con los partidos y clasificación de cada grupo de manera individual.</t>
  </si>
  <si>
    <t>Français</t>
  </si>
  <si>
    <t>English</t>
  </si>
  <si>
    <t>Coupe du Monde - Russie 2018</t>
  </si>
  <si>
    <r>
      <rPr>
        <vertAlign val="superscript"/>
        <sz val="11"/>
        <color theme="1"/>
        <rFont val="Calibri"/>
        <family val="2"/>
        <scheme val="minor"/>
      </rPr>
      <t xml:space="preserve">ème </t>
    </r>
    <r>
      <rPr>
        <sz val="11"/>
        <color theme="1"/>
        <rFont val="Calibri"/>
        <family val="2"/>
        <scheme val="minor"/>
      </rPr>
      <t>du groupe</t>
    </r>
  </si>
  <si>
    <t>Groupe</t>
  </si>
  <si>
    <t>Équipe</t>
  </si>
  <si>
    <t>Team</t>
  </si>
  <si>
    <t>Fair-Play</t>
  </si>
  <si>
    <t>Instructions</t>
  </si>
  <si>
    <t>Match</t>
  </si>
  <si>
    <t>Stade</t>
  </si>
  <si>
    <t>Horaire</t>
  </si>
  <si>
    <t>Équipe par Équipe</t>
  </si>
  <si>
    <t>Venues</t>
  </si>
  <si>
    <t>Groupes</t>
  </si>
  <si>
    <t>Version</t>
  </si>
  <si>
    <t>Licence</t>
  </si>
  <si>
    <t>Autres</t>
  </si>
  <si>
    <t>Modifier les points de fair-play</t>
  </si>
  <si>
    <t>Quarts de final</t>
  </si>
  <si>
    <t>Demi-finales</t>
  </si>
  <si>
    <t>Petite Finale</t>
  </si>
  <si>
    <t>Finale</t>
  </si>
  <si>
    <t>Huitièmes de finale</t>
  </si>
  <si>
    <t>Octavos de final</t>
  </si>
  <si>
    <t>Cuartos de final</t>
  </si>
  <si>
    <t>Moyenne</t>
  </si>
  <si>
    <t>Clickez sur le nom pour changer d'</t>
  </si>
  <si>
    <t>équipe</t>
  </si>
  <si>
    <t>groupe</t>
  </si>
  <si>
    <t>stade</t>
  </si>
  <si>
    <t>spectateurs</t>
  </si>
  <si>
    <t>Vous êtes autorisés (et encouragés) à modifier, copier et partager ce tableur, tant que vous le faites gratuiment, en me l'attribuant et sous cette même licence (Creative Commons Attribution - Pas d’Utilisation Commerciale - Partage dans les Mêmes Conditions 4.0 International).</t>
  </si>
  <si>
    <t>Russie</t>
  </si>
  <si>
    <t>Arabie Saoudite</t>
  </si>
  <si>
    <t>Égypte</t>
  </si>
  <si>
    <t>Marroc</t>
  </si>
  <si>
    <t>Iran</t>
  </si>
  <si>
    <t>Espagne</t>
  </si>
  <si>
    <t>France</t>
  </si>
  <si>
    <t>Australie</t>
  </si>
  <si>
    <t>Pérou</t>
  </si>
  <si>
    <t>Danemark</t>
  </si>
  <si>
    <t>Argentine</t>
  </si>
  <si>
    <t>Islande</t>
  </si>
  <si>
    <t>Croatie</t>
  </si>
  <si>
    <t>Nigérie</t>
  </si>
  <si>
    <t>Serbie</t>
  </si>
  <si>
    <t>Brésil</t>
  </si>
  <si>
    <t>Suisse</t>
  </si>
  <si>
    <t>Allemagne</t>
  </si>
  <si>
    <t>Méxique</t>
  </si>
  <si>
    <t>Suède</t>
  </si>
  <si>
    <t>Corée du Sud</t>
  </si>
  <si>
    <t>Belgique</t>
  </si>
  <si>
    <t>Panama</t>
  </si>
  <si>
    <t>Tunisie</t>
  </si>
  <si>
    <t>Angleterre</t>
  </si>
  <si>
    <t>Colombie</t>
  </si>
  <si>
    <t>Japon</t>
  </si>
  <si>
    <t>Pologne</t>
  </si>
  <si>
    <t>Sénegal</t>
  </si>
  <si>
    <t>World Cup - Russia 2018</t>
  </si>
  <si>
    <t>Nombre de participations</t>
  </si>
  <si>
    <t>Meilleur classement</t>
  </si>
  <si>
    <t>Titres remportés</t>
  </si>
  <si>
    <t>Entraîneur</t>
  </si>
  <si>
    <r>
      <rPr>
        <vertAlign val="superscript"/>
        <sz val="11"/>
        <color theme="1"/>
        <rFont val="Calibri"/>
        <family val="2"/>
        <scheme val="minor"/>
      </rPr>
      <t xml:space="preserve">th </t>
    </r>
    <r>
      <rPr>
        <sz val="11"/>
        <color theme="1"/>
        <rFont val="Calibri"/>
        <family val="2"/>
        <scheme val="minor"/>
      </rPr>
      <t>of group</t>
    </r>
  </si>
  <si>
    <t>Stadium</t>
  </si>
  <si>
    <t>Date and Time</t>
  </si>
  <si>
    <t>Round</t>
  </si>
  <si>
    <t>Honor roll</t>
  </si>
  <si>
    <t>Rouleau d'honneur</t>
  </si>
  <si>
    <t>Group phase</t>
  </si>
  <si>
    <t>Team by team</t>
  </si>
  <si>
    <t>Groups</t>
  </si>
  <si>
    <t>Others</t>
  </si>
  <si>
    <t>Coach</t>
  </si>
  <si>
    <t>Winns</t>
  </si>
  <si>
    <t>Best position</t>
  </si>
  <si>
    <t>Modify fair play points</t>
  </si>
  <si>
    <t>Average</t>
  </si>
  <si>
    <t>team</t>
  </si>
  <si>
    <t>group</t>
  </si>
  <si>
    <t>stadium</t>
  </si>
  <si>
    <t>You are able to modify, copy and share this work, if you do it free, recognizing my authorship and under this licence (Creative Commons Attribution-NonCommercial-ShareAlike 4.0 International)</t>
  </si>
  <si>
    <t>Russia</t>
  </si>
  <si>
    <t>Egypt</t>
  </si>
  <si>
    <t>Morroco</t>
  </si>
  <si>
    <t>Spain</t>
  </si>
  <si>
    <t>Iceland</t>
  </si>
  <si>
    <t>Croatia</t>
  </si>
  <si>
    <t>Brezil</t>
  </si>
  <si>
    <t>Saudi Arabia</t>
  </si>
  <si>
    <t>Peru</t>
  </si>
  <si>
    <t>Switzerland</t>
  </si>
  <si>
    <t>Germany</t>
  </si>
  <si>
    <t>Mexico</t>
  </si>
  <si>
    <t>Sweden</t>
  </si>
  <si>
    <t>South Korea</t>
  </si>
  <si>
    <t>Belgium</t>
  </si>
  <si>
    <t>Tunisia</t>
  </si>
  <si>
    <t>England</t>
  </si>
  <si>
    <t>Japan</t>
  </si>
  <si>
    <t>Poland</t>
  </si>
  <si>
    <t>Denmark</t>
  </si>
  <si>
    <t>Round of 16</t>
  </si>
  <si>
    <t>Round of 8</t>
  </si>
  <si>
    <t>Knocokout phase</t>
  </si>
  <si>
    <t>Semi.finals</t>
  </si>
  <si>
    <t>Playoff for third place</t>
  </si>
  <si>
    <t>Phase de groupes</t>
  </si>
  <si>
    <t>Second tour</t>
  </si>
  <si>
    <t>spectators</t>
  </si>
  <si>
    <t>Click the name to change the</t>
  </si>
  <si>
    <t>Clic sobre el nombre para cambiar de</t>
  </si>
  <si>
    <t>Tarjeta roja directa</t>
  </si>
  <si>
    <t>Tarjeta amarilla y roja directa</t>
  </si>
  <si>
    <t>Una tarjeta amarilla</t>
  </si>
  <si>
    <t>Dos tarjetas amarillas</t>
  </si>
  <si>
    <t>Un carton jaune</t>
  </si>
  <si>
    <t>Deux cartons jaunes</t>
  </si>
  <si>
    <t>Carton jaune puis carton rouge</t>
  </si>
  <si>
    <t>One yellow card</t>
  </si>
  <si>
    <t>Two yellow cards</t>
  </si>
  <si>
    <t>Expulsion directe</t>
  </si>
  <si>
    <t>Yellow card and direct red card</t>
  </si>
  <si>
    <t>Direct red card</t>
  </si>
  <si>
    <t>2002; 2010</t>
  </si>
  <si>
    <t>1974; 1982</t>
  </si>
  <si>
    <t>Stades</t>
  </si>
  <si>
    <t>J</t>
  </si>
  <si>
    <t>N</t>
  </si>
  <si>
    <t>P</t>
  </si>
  <si>
    <t>BP</t>
  </si>
  <si>
    <t>BC</t>
  </si>
  <si>
    <t>Pld</t>
  </si>
  <si>
    <t>W</t>
  </si>
  <si>
    <t>D</t>
  </si>
  <si>
    <t>L</t>
  </si>
  <si>
    <t>GA</t>
  </si>
  <si>
    <t>GD</t>
  </si>
  <si>
    <t>Phase</t>
  </si>
  <si>
    <t>Personalizado</t>
  </si>
  <si>
    <t>Presentación individual de los distintos estadios en los que se desarrolla el torneo, especificando sus características (aforo, foto, año de construcción…) y los partidos que albergan.</t>
  </si>
  <si>
    <t>Feuille où sont présentés tous les matchs de la phase de groupes, ordonnés chronologiquement, sous forme de calendrier. En fonction du résultat, les équipes acquerront des couleurs différentes. Dans cette feuille doivent être introduis les résultats. Les classements de tous les groupes sont inclus.</t>
  </si>
  <si>
    <t>Feuille avec un calendrier des matchs éliminatoires, pour y introduire les résultats. Les équipes acquièrent des couleurs en fonction des résultats. Elle inclut aussi un cadre-résumé de cette phase.</t>
  </si>
  <si>
    <t>Présentation individuelle des différents stades où a lieu le tournoi, en spécifiant ses caractéristiques (capacité, photo, année de construction…) et les matchs qui se jouent.</t>
  </si>
  <si>
    <t>Feuille qui présente individuellement les matchs et le classement de chaque groupe.</t>
  </si>
  <si>
    <t>Sheet who presents all the matches of the initial phase, ordered chronologically, in form of calendar. Depending of the match result, the teams acquire different colours. In this sheet you have to introduce the results. The standing table of each group is showed.</t>
  </si>
  <si>
    <t>Sheet with a calendar of all the knockout matches, in where introduce his results. The teams are marked in colours depending of the result. It also has a resume bracket of the final phase.</t>
  </si>
  <si>
    <t>General vision of the World Cup road done by each national team: his matches, the stadiums in where it played…Other statistics, like the coach or the best achievement in World Cups, are also showed.</t>
  </si>
  <si>
    <t>Individual presentation of all the stadiums in where the cup takes place, specifying its characteristics (capacity, photo, construction year…) and the matches which they host.</t>
  </si>
  <si>
    <t>Sheet who presents individually the matches and the standing table of each group.</t>
  </si>
  <si>
    <t xml:space="preserve"> </t>
  </si>
  <si>
    <t>Deducción/adición manual de puntos por juego limpio o causas organizativas, 3 idiomas, configuración horaria, histórico de versiones y licencia Creative Commons</t>
  </si>
  <si>
    <t>Déduction/adition manuelle de points dus au fair-play ou à des raisons administratives, trois langues, configuration horaire, historique des versions et licence Creative Commons.</t>
  </si>
  <si>
    <t>EN LA PORTADA LA FÓRMULA EN LAS CASILLAS DE RESULTADOS ES DISTINTA PARA QUE ENCAJE EL FORMATO CONDICIONAL</t>
  </si>
  <si>
    <t>PARA C5 (PRIMERA DE TODAS), TENEMOS:</t>
  </si>
  <si>
    <t>=SI(Y($B5&lt;&gt;"";$E5&lt;&gt;"");INDICE(FaseGrupos!$P$6:$AA$53;COINCIDIR(Portada!$A5;FaseGrupos!$X$6:$X$53;0);Portada!C$4);"")</t>
  </si>
  <si>
    <t>Zona horaria</t>
  </si>
  <si>
    <t>Idioma</t>
  </si>
  <si>
    <t>Language</t>
  </si>
  <si>
    <t>Langage</t>
  </si>
  <si>
    <t>Fuseau horaire</t>
  </si>
  <si>
    <t>Time zone</t>
  </si>
  <si>
    <t>Manual deduction/addition of points for fair-play or administrative reasons, three languages, time zone settings, version history and Creative Commons license.</t>
  </si>
  <si>
    <t>GMT + 12 h Wellington</t>
  </si>
  <si>
    <t>GMT + 11 h New-Caledonia</t>
  </si>
  <si>
    <t>GMT + 10 h Melbourne</t>
  </si>
  <si>
    <t>GMT + 10 h Sydney</t>
  </si>
  <si>
    <t>GMT + 10 h Vladivostok</t>
  </si>
  <si>
    <t>GMT + 9.30 h Darwin</t>
  </si>
  <si>
    <t>GMT + 9 h Seúl</t>
  </si>
  <si>
    <t>GMT + 9 h Tokyo</t>
  </si>
  <si>
    <t>GMT + 8 h Hongkong</t>
  </si>
  <si>
    <t>GMT + 8 h Beijing</t>
  </si>
  <si>
    <t>GMT + 8 h Perth</t>
  </si>
  <si>
    <t>GMT + 8 h Singapore</t>
  </si>
  <si>
    <t>GMT + 7 h Bangkok</t>
  </si>
  <si>
    <t>GMT + 7 h Jakarta</t>
  </si>
  <si>
    <t>GMT + 7 h Novosibirsk</t>
  </si>
  <si>
    <t>GMT + 6 h Almaty</t>
  </si>
  <si>
    <t>GMT + 5.30 h Calcuta</t>
  </si>
  <si>
    <t>GMT + 5.30 h Nueva Delhi</t>
  </si>
  <si>
    <t>GMT + 5 h Ashgabad</t>
  </si>
  <si>
    <t>GMT + 5 h Karachi</t>
  </si>
  <si>
    <t>GMT + 4 h Mauritius</t>
  </si>
  <si>
    <t>GMT + 4 h Bagdad</t>
  </si>
  <si>
    <t>GMT + 4 h Moscú</t>
  </si>
  <si>
    <t>GMT + 4 h Nairobi</t>
  </si>
  <si>
    <t>GMT + 3 h Ankara</t>
  </si>
  <si>
    <t>GMT + 3 h Helsinki</t>
  </si>
  <si>
    <t>GMT + 3 h Estambul</t>
  </si>
  <si>
    <t>GMT + 3 h Kiev</t>
  </si>
  <si>
    <t>GMT + 2 h Johannesburg</t>
  </si>
  <si>
    <t>GMT + 2 h Cairo</t>
  </si>
  <si>
    <t>GMT + 2 h Windhoek</t>
  </si>
  <si>
    <t>GMT + 2 h Berlín</t>
  </si>
  <si>
    <t>GMT + 2 h Madrid</t>
  </si>
  <si>
    <t>GMT + 2 h París</t>
  </si>
  <si>
    <t>GMT + 2 h Roma</t>
  </si>
  <si>
    <t>GMT + 2 h Estocolmo</t>
  </si>
  <si>
    <t>GMT + 2 h Trípoli</t>
  </si>
  <si>
    <t>GMT + 1 h Lisboa</t>
  </si>
  <si>
    <t>GMT + 1 h Londres</t>
  </si>
  <si>
    <t>GMT + 1 h Túnez</t>
  </si>
  <si>
    <t>GMT Dakar</t>
  </si>
  <si>
    <t>GMT Reykjavik</t>
  </si>
  <si>
    <t>GMT Azores</t>
  </si>
  <si>
    <t>GMT - 1 h Cabo Verde</t>
  </si>
  <si>
    <t>GMT - 3 h Buenos Aires</t>
  </si>
  <si>
    <t>GMT - 3 h Río de Janeiro</t>
  </si>
  <si>
    <t>GMT - 4 h Caracas</t>
  </si>
  <si>
    <t>GMT - 4 h La Paz</t>
  </si>
  <si>
    <t>GMT - 4 h Santiago de Chile</t>
  </si>
  <si>
    <t>GMT - 4 h Montreal</t>
  </si>
  <si>
    <t>GMT - 4 h New York</t>
  </si>
  <si>
    <t>GMT - 4 h Washington</t>
  </si>
  <si>
    <t>GMT - 5 h Chicago</t>
  </si>
  <si>
    <t>GMT - 5 h México DF</t>
  </si>
  <si>
    <t>GMT - 6 h Denver</t>
  </si>
  <si>
    <t>GMT - 7 h Los Ángeles</t>
  </si>
  <si>
    <t>GMT - 7 h San Francisco</t>
  </si>
  <si>
    <t>GMT - 8 h Anchorage</t>
  </si>
  <si>
    <t>GMT - 8 h Fairbanks</t>
  </si>
  <si>
    <t>GMT - 10 h Honolulú</t>
  </si>
  <si>
    <t>GMT - 11 h Westsamoa</t>
  </si>
  <si>
    <t>Zona</t>
  </si>
  <si>
    <t>Diferencia</t>
  </si>
  <si>
    <t>12:00</t>
  </si>
  <si>
    <t>11:00</t>
  </si>
  <si>
    <t>10:00</t>
  </si>
  <si>
    <t>9:00</t>
  </si>
  <si>
    <t>8:00</t>
  </si>
  <si>
    <t>7:00</t>
  </si>
  <si>
    <t>6:00</t>
  </si>
  <si>
    <t>5:00</t>
  </si>
  <si>
    <t>4:00</t>
  </si>
  <si>
    <t>3:00</t>
  </si>
  <si>
    <t>2:00</t>
  </si>
  <si>
    <t>1:00</t>
  </si>
  <si>
    <t>0:00</t>
  </si>
  <si>
    <t>-1:00</t>
  </si>
  <si>
    <t>-3:00</t>
  </si>
  <si>
    <t>-4:00</t>
  </si>
  <si>
    <t>-5:00</t>
  </si>
  <si>
    <t>-6:00</t>
  </si>
  <si>
    <t>-7:00</t>
  </si>
  <si>
    <t>-8:00</t>
  </si>
  <si>
    <t>-10:00</t>
  </si>
  <si>
    <t>Vision générale des exploits de chaque équipe : ses matchs, les stades… De plus, il est possible de consulter des donnés telles que l’entraineur ou le meilleur résultat obtenu dans une Coupe du Monde jusqu’à présent.</t>
  </si>
  <si>
    <t>Grupo B</t>
  </si>
  <si>
    <t>Le remplissage de cette feuille est totalment volontaire, son objectif est de régler correctement le classement des groupes.
Elle peut servir de réglage manuel.</t>
  </si>
  <si>
    <t>This sheet is completely voluntary, his goal is to have correct tiebreakings in the groups.
It can be used as a manual arrangement.</t>
  </si>
  <si>
    <t>Configurar idioma…</t>
  </si>
  <si>
    <t>Configuration de langue…</t>
  </si>
  <si>
    <t>Language Settings…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</si>
</sst>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m\ h:mm"/>
    <numFmt numFmtId="165" formatCode="dd\-mmm\ hh:mm"/>
  </numFmts>
  <fonts count="28" x14ac:knownFonts="1">
    <font>
      <sz val="11"/>
      <color theme="1"/>
      <name val="Calibri"/>
      <family val="2"/>
      <scheme val="minor"/>
    </font>
    <font>
      <b/>
      <sz val="11"/>
      <color theme="1"/>
      <name val="Calibri"/>
      <family val="2"/>
      <scheme val="minor"/>
    </font>
    <font>
      <b/>
      <sz val="9"/>
      <color indexed="81"/>
      <name val="Tahoma"/>
      <family val="2"/>
    </font>
    <font>
      <sz val="9"/>
      <color indexed="81"/>
      <name val="Tahoma"/>
      <family val="2"/>
    </font>
    <font>
      <sz val="11"/>
      <color theme="1"/>
      <name val="Calibri"/>
      <family val="2"/>
      <scheme val="minor"/>
    </font>
    <font>
      <sz val="12"/>
      <color theme="1"/>
      <name val="Calibri"/>
      <family val="2"/>
      <scheme val="minor"/>
    </font>
    <font>
      <sz val="12"/>
      <color theme="0"/>
      <name val="Calibri"/>
      <family val="2"/>
      <scheme val="minor"/>
    </font>
    <font>
      <sz val="10"/>
      <color theme="1"/>
      <name val="Calibri"/>
      <family val="2"/>
      <scheme val="minor"/>
    </font>
    <font>
      <sz val="18"/>
      <color theme="1"/>
      <name val="Calibri"/>
      <family val="2"/>
      <scheme val="minor"/>
    </font>
    <font>
      <sz val="12"/>
      <color rgb="FFFF0000"/>
      <name val="Calibri"/>
      <family val="2"/>
      <scheme val="minor"/>
    </font>
    <font>
      <sz val="12"/>
      <name val="Calibri"/>
      <family val="2"/>
      <scheme val="minor"/>
    </font>
    <font>
      <b/>
      <sz val="12"/>
      <color theme="0"/>
      <name val="Calibri"/>
      <family val="2"/>
      <scheme val="minor"/>
    </font>
    <font>
      <b/>
      <sz val="18"/>
      <color rgb="FF0070C0"/>
      <name val="Calibri"/>
      <family val="2"/>
      <scheme val="minor"/>
    </font>
    <font>
      <sz val="10"/>
      <color rgb="FF0070C0"/>
      <name val="Calibri"/>
      <family val="2"/>
      <scheme val="minor"/>
    </font>
    <font>
      <sz val="16"/>
      <name val="Calibri"/>
      <family val="2"/>
      <scheme val="minor"/>
    </font>
    <font>
      <b/>
      <sz val="11"/>
      <color theme="0"/>
      <name val="Calibri"/>
      <family val="2"/>
      <scheme val="minor"/>
    </font>
    <font>
      <u/>
      <sz val="11"/>
      <color theme="10"/>
      <name val="Calibri"/>
      <family val="2"/>
      <scheme val="minor"/>
    </font>
    <font>
      <u/>
      <sz val="11"/>
      <color rgb="FF0070C0"/>
      <name val="Calibri"/>
      <family val="2"/>
      <scheme val="minor"/>
    </font>
    <font>
      <u/>
      <sz val="12"/>
      <color rgb="FF0070C0"/>
      <name val="Calibri"/>
      <family val="2"/>
      <scheme val="minor"/>
    </font>
    <font>
      <sz val="11"/>
      <color rgb="FF0070C0"/>
      <name val="Calibri"/>
      <family val="2"/>
      <scheme val="minor"/>
    </font>
    <font>
      <b/>
      <sz val="12"/>
      <color rgb="FF0070C0"/>
      <name val="Calibri"/>
      <family val="2"/>
      <scheme val="minor"/>
    </font>
    <font>
      <sz val="12"/>
      <color rgb="FF0070C0"/>
      <name val="Calibri"/>
      <family val="2"/>
      <scheme val="minor"/>
    </font>
    <font>
      <sz val="11"/>
      <color theme="0" tint="-0.499984740745262"/>
      <name val="Calibri"/>
      <family val="2"/>
      <scheme val="minor"/>
    </font>
    <font>
      <vertAlign val="superscript"/>
      <sz val="11"/>
      <color theme="1"/>
      <name val="Calibri"/>
      <family val="2"/>
      <scheme val="minor"/>
    </font>
    <font>
      <sz val="16"/>
      <color theme="0"/>
      <name val="Calibri"/>
      <family val="2"/>
      <scheme val="minor"/>
    </font>
    <font>
      <sz val="11"/>
      <color theme="0"/>
      <name val="Calibri"/>
      <family val="2"/>
      <scheme val="minor"/>
    </font>
    <font>
      <sz val="14"/>
      <color rgb="FF0070C0"/>
      <name val="Calibri"/>
      <family val="2"/>
      <scheme val="minor"/>
    </font>
    <font>
      <b/>
      <sz val="14"/>
      <color theme="0"/>
      <name val="Calibri"/>
      <family val="2"/>
      <scheme val="minor"/>
    </font>
  </fonts>
  <fills count="4">
    <fill>
      <patternFill patternType="none"/>
    </fill>
    <fill>
      <patternFill patternType="gray125"/>
    </fill>
    <fill>
      <patternFill patternType="solid">
        <fgColor rgb="FF0070C0"/>
        <bgColor indexed="64"/>
      </patternFill>
    </fill>
    <fill>
      <patternFill patternType="solid">
        <fgColor theme="4" tint="0.79998168889431442"/>
        <bgColor indexed="64"/>
      </patternFill>
    </fill>
  </fills>
  <borders count="45">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bottom style="thin">
        <color indexed="64"/>
      </bottom>
      <diagonal/>
    </border>
    <border>
      <left/>
      <right style="medium">
        <color indexed="64"/>
      </right>
      <top style="medium">
        <color indexed="64"/>
      </top>
      <bottom style="thin">
        <color auto="1"/>
      </bottom>
      <diagonal/>
    </border>
    <border>
      <left/>
      <right style="medium">
        <color indexed="64"/>
      </right>
      <top style="thin">
        <color auto="1"/>
      </top>
      <bottom style="medium">
        <color indexed="64"/>
      </bottom>
      <diagonal/>
    </border>
    <border>
      <left style="thin">
        <color indexed="64"/>
      </left>
      <right style="medium">
        <color auto="1"/>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auto="1"/>
      </right>
      <top/>
      <bottom/>
      <diagonal/>
    </border>
    <border>
      <left style="medium">
        <color indexed="64"/>
      </left>
      <right style="thin">
        <color indexed="64"/>
      </right>
      <top/>
      <bottom/>
      <diagonal/>
    </border>
    <border>
      <left style="thin">
        <color auto="1"/>
      </left>
      <right style="thin">
        <color auto="1"/>
      </right>
      <top style="thin">
        <color auto="1"/>
      </top>
      <bottom style="double">
        <color indexed="64"/>
      </bottom>
      <diagonal/>
    </border>
    <border>
      <left style="thin">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style="thin">
        <color rgb="FF0070C0"/>
      </left>
      <right/>
      <top/>
      <bottom style="thin">
        <color rgb="FF0070C0"/>
      </bottom>
      <diagonal/>
    </border>
    <border>
      <left/>
      <right/>
      <top/>
      <bottom style="thin">
        <color rgb="FF0070C0"/>
      </bottom>
      <diagonal/>
    </border>
    <border>
      <left/>
      <right style="thin">
        <color rgb="FF0070C0"/>
      </right>
      <top/>
      <bottom style="thin">
        <color rgb="FF0070C0"/>
      </bottom>
      <diagonal/>
    </border>
  </borders>
  <cellStyleXfs count="3">
    <xf numFmtId="0" fontId="0" fillId="0" borderId="0"/>
    <xf numFmtId="9" fontId="4" fillId="0" borderId="0" applyFont="0" applyFill="0" applyBorder="0" applyAlignment="0" applyProtection="0"/>
    <xf numFmtId="0" fontId="16" fillId="0" borderId="0" applyNumberFormat="0" applyFill="0" applyBorder="0" applyAlignment="0" applyProtection="0"/>
  </cellStyleXfs>
  <cellXfs count="174">
    <xf numFmtId="0" fontId="0" fillId="0" borderId="0" xfId="0"/>
    <xf numFmtId="0" fontId="1" fillId="0" borderId="0" xfId="0" applyFont="1"/>
    <xf numFmtId="0" fontId="0" fillId="0" borderId="0" xfId="0" quotePrefix="1"/>
    <xf numFmtId="0" fontId="0" fillId="0" borderId="0" xfId="0" applyBorder="1"/>
    <xf numFmtId="0" fontId="0" fillId="0" borderId="1" xfId="0" applyBorder="1"/>
    <xf numFmtId="0" fontId="0" fillId="0" borderId="0" xfId="0" applyFill="1" applyBorder="1"/>
    <xf numFmtId="9" fontId="0" fillId="0" borderId="0" xfId="1" applyFont="1"/>
    <xf numFmtId="0" fontId="5" fillId="0" borderId="0" xfId="0" applyFont="1"/>
    <xf numFmtId="0" fontId="6" fillId="0" borderId="0" xfId="0" applyFont="1"/>
    <xf numFmtId="0" fontId="7" fillId="0" borderId="0" xfId="0" applyFont="1" applyAlignment="1">
      <alignment horizontal="left" wrapText="1"/>
    </xf>
    <xf numFmtId="0" fontId="5" fillId="0" borderId="0" xfId="0" applyFont="1" applyAlignment="1">
      <alignment horizontal="left"/>
    </xf>
    <xf numFmtId="16" fontId="0" fillId="0" borderId="0" xfId="0" applyNumberFormat="1"/>
    <xf numFmtId="20" fontId="0" fillId="0" borderId="0" xfId="0" applyNumberFormat="1"/>
    <xf numFmtId="14" fontId="0" fillId="0" borderId="0" xfId="0" applyNumberFormat="1"/>
    <xf numFmtId="14" fontId="0" fillId="0" borderId="0" xfId="0" applyNumberFormat="1" applyBorder="1"/>
    <xf numFmtId="14" fontId="0" fillId="0" borderId="1" xfId="0" applyNumberFormat="1" applyBorder="1"/>
    <xf numFmtId="0" fontId="5" fillId="0" borderId="0" xfId="0" applyFont="1" applyAlignment="1">
      <alignment horizontal="center"/>
    </xf>
    <xf numFmtId="0" fontId="7" fillId="0" borderId="0" xfId="0" applyFont="1" applyAlignment="1">
      <alignment horizontal="left" wrapText="1"/>
    </xf>
    <xf numFmtId="164" fontId="0" fillId="0" borderId="0" xfId="0" applyNumberFormat="1"/>
    <xf numFmtId="0" fontId="5" fillId="0" borderId="0" xfId="0" applyFont="1" applyAlignment="1" applyProtection="1">
      <alignment horizontal="center"/>
      <protection hidden="1"/>
    </xf>
    <xf numFmtId="0" fontId="7" fillId="0" borderId="0" xfId="0" applyFont="1" applyAlignment="1">
      <alignment horizontal="left" wrapText="1"/>
    </xf>
    <xf numFmtId="16" fontId="5" fillId="0" borderId="0" xfId="0" applyNumberFormat="1" applyFont="1" applyAlignment="1">
      <alignment horizontal="center"/>
    </xf>
    <xf numFmtId="0" fontId="12" fillId="0" borderId="0" xfId="0" applyFont="1" applyAlignment="1">
      <alignment horizontal="left"/>
    </xf>
    <xf numFmtId="0" fontId="15" fillId="2" borderId="9" xfId="0" applyFont="1" applyFill="1" applyBorder="1"/>
    <xf numFmtId="0" fontId="0" fillId="3" borderId="9" xfId="0" applyFill="1" applyBorder="1"/>
    <xf numFmtId="0" fontId="0" fillId="0" borderId="0" xfId="0" applyAlignment="1">
      <alignment horizontal="center"/>
    </xf>
    <xf numFmtId="0" fontId="15" fillId="0" borderId="0" xfId="0" applyFont="1"/>
    <xf numFmtId="0" fontId="0" fillId="0" borderId="0" xfId="0" applyAlignment="1"/>
    <xf numFmtId="0" fontId="15" fillId="2" borderId="9" xfId="0" applyFont="1" applyFill="1" applyBorder="1" applyAlignment="1">
      <alignment horizontal="center"/>
    </xf>
    <xf numFmtId="0" fontId="0" fillId="3" borderId="38" xfId="0" applyFill="1" applyBorder="1"/>
    <xf numFmtId="0" fontId="0" fillId="0" borderId="9" xfId="0" quotePrefix="1" applyBorder="1" applyAlignment="1">
      <alignment horizontal="right" vertical="center" wrapText="1"/>
    </xf>
    <xf numFmtId="0" fontId="0" fillId="0" borderId="9" xfId="0" applyBorder="1" applyAlignment="1" applyProtection="1">
      <alignment horizontal="center"/>
      <protection locked="0"/>
    </xf>
    <xf numFmtId="0" fontId="0" fillId="0" borderId="38" xfId="0" applyBorder="1" applyAlignment="1" applyProtection="1">
      <alignment horizontal="center"/>
      <protection locked="0"/>
    </xf>
    <xf numFmtId="0" fontId="0" fillId="0" borderId="0" xfId="0" applyAlignment="1">
      <alignment vertical="center"/>
    </xf>
    <xf numFmtId="0" fontId="20" fillId="0" borderId="0" xfId="0" applyFont="1" applyAlignment="1">
      <alignment horizontal="left"/>
    </xf>
    <xf numFmtId="0" fontId="22" fillId="0" borderId="0" xfId="0" applyFont="1" applyAlignment="1">
      <alignment vertical="center" wrapText="1"/>
    </xf>
    <xf numFmtId="4" fontId="0" fillId="0" borderId="0" xfId="0" applyNumberFormat="1" applyAlignment="1">
      <alignment vertical="center"/>
    </xf>
    <xf numFmtId="0" fontId="0" fillId="0" borderId="0" xfId="0" applyFill="1"/>
    <xf numFmtId="20" fontId="0" fillId="0" borderId="0" xfId="0" applyNumberFormat="1" applyAlignment="1">
      <alignment horizontal="right"/>
    </xf>
    <xf numFmtId="0" fontId="0" fillId="0" borderId="0" xfId="0" applyAlignment="1">
      <alignment horizontal="right"/>
    </xf>
    <xf numFmtId="0" fontId="0" fillId="0" borderId="0" xfId="0" applyAlignment="1">
      <alignment horizontal="left"/>
    </xf>
    <xf numFmtId="0" fontId="5" fillId="0" borderId="0" xfId="0" applyFont="1" applyProtection="1">
      <protection hidden="1"/>
    </xf>
    <xf numFmtId="0" fontId="6" fillId="0" borderId="0" xfId="0" applyFont="1" applyProtection="1">
      <protection hidden="1"/>
    </xf>
    <xf numFmtId="0" fontId="12" fillId="0" borderId="0" xfId="0" applyFont="1" applyBorder="1" applyAlignment="1" applyProtection="1">
      <alignment horizontal="center"/>
      <protection locked="0" hidden="1"/>
    </xf>
    <xf numFmtId="0" fontId="10" fillId="0" borderId="9"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3" fillId="0" borderId="0" xfId="0" applyFont="1" applyBorder="1" applyAlignment="1" applyProtection="1">
      <alignment horizontal="center" wrapText="1"/>
      <protection hidden="1"/>
    </xf>
    <xf numFmtId="0" fontId="24" fillId="0" borderId="0" xfId="0" applyFont="1" applyFill="1" applyBorder="1" applyAlignment="1" applyProtection="1">
      <alignment horizontal="center" vertical="center"/>
      <protection hidden="1"/>
    </xf>
    <xf numFmtId="0" fontId="14" fillId="0" borderId="0" xfId="0" applyFont="1" applyFill="1" applyBorder="1" applyAlignment="1" applyProtection="1">
      <alignment horizontal="center" vertical="center"/>
      <protection hidden="1"/>
    </xf>
    <xf numFmtId="0" fontId="5" fillId="0" borderId="0" xfId="0" applyFont="1" applyBorder="1" applyAlignment="1" applyProtection="1">
      <alignment horizontal="center"/>
      <protection hidden="1"/>
    </xf>
    <xf numFmtId="0" fontId="0" fillId="0" borderId="0" xfId="0" applyProtection="1">
      <protection hidden="1"/>
    </xf>
    <xf numFmtId="0" fontId="11" fillId="2" borderId="0" xfId="0" applyFont="1" applyFill="1" applyAlignment="1" applyProtection="1">
      <alignment horizontal="center"/>
      <protection hidden="1"/>
    </xf>
    <xf numFmtId="0" fontId="11" fillId="2" borderId="9" xfId="0" applyFont="1" applyFill="1" applyBorder="1" applyAlignment="1" applyProtection="1">
      <alignment horizontal="center"/>
      <protection hidden="1"/>
    </xf>
    <xf numFmtId="165" fontId="5" fillId="0" borderId="0" xfId="0" applyNumberFormat="1" applyFont="1" applyAlignment="1" applyProtection="1">
      <alignment horizontal="center"/>
      <protection hidden="1"/>
    </xf>
    <xf numFmtId="0" fontId="5" fillId="0" borderId="0" xfId="0" applyFont="1" applyAlignment="1" applyProtection="1">
      <alignment vertical="center"/>
      <protection hidden="1"/>
    </xf>
    <xf numFmtId="0" fontId="11" fillId="0" borderId="0" xfId="0" applyFont="1" applyFill="1" applyBorder="1" applyAlignment="1" applyProtection="1">
      <alignment horizontal="center" vertical="center"/>
      <protection hidden="1"/>
    </xf>
    <xf numFmtId="0" fontId="5" fillId="0" borderId="0" xfId="0" applyFont="1" applyAlignment="1" applyProtection="1">
      <alignment horizontal="center" vertical="center"/>
      <protection hidden="1"/>
    </xf>
    <xf numFmtId="0" fontId="5" fillId="0" borderId="0" xfId="0" applyFont="1" applyFill="1" applyAlignment="1" applyProtection="1">
      <alignment vertical="center"/>
      <protection hidden="1"/>
    </xf>
    <xf numFmtId="0" fontId="5" fillId="3" borderId="9" xfId="0" applyFont="1" applyFill="1" applyBorder="1" applyAlignment="1" applyProtection="1">
      <alignment horizontal="center"/>
      <protection hidden="1"/>
    </xf>
    <xf numFmtId="164" fontId="5" fillId="3" borderId="9" xfId="0" applyNumberFormat="1" applyFont="1" applyFill="1" applyBorder="1" applyAlignment="1" applyProtection="1">
      <alignment horizontal="center"/>
      <protection hidden="1"/>
    </xf>
    <xf numFmtId="0" fontId="5" fillId="0" borderId="14" xfId="0" applyFont="1" applyBorder="1" applyAlignment="1" applyProtection="1">
      <alignment vertical="center"/>
      <protection hidden="1"/>
    </xf>
    <xf numFmtId="0" fontId="5" fillId="3" borderId="15" xfId="0" applyFont="1" applyFill="1" applyBorder="1" applyAlignment="1" applyProtection="1">
      <alignment horizontal="center" vertical="center"/>
      <protection hidden="1"/>
    </xf>
    <xf numFmtId="0" fontId="5" fillId="0" borderId="1" xfId="0" applyFont="1" applyBorder="1" applyAlignment="1" applyProtection="1">
      <alignment vertical="center"/>
      <protection hidden="1"/>
    </xf>
    <xf numFmtId="0" fontId="5" fillId="3" borderId="14" xfId="0" applyFont="1" applyFill="1" applyBorder="1" applyAlignment="1" applyProtection="1">
      <alignment horizontal="center" vertical="center"/>
      <protection hidden="1"/>
    </xf>
    <xf numFmtId="0" fontId="5" fillId="0" borderId="15" xfId="0" applyFont="1" applyBorder="1" applyAlignment="1" applyProtection="1">
      <alignment horizontal="right" vertical="center"/>
      <protection hidden="1"/>
    </xf>
    <xf numFmtId="0" fontId="5" fillId="0" borderId="16" xfId="0" applyFont="1" applyBorder="1" applyAlignment="1" applyProtection="1">
      <alignment vertical="center"/>
      <protection hidden="1"/>
    </xf>
    <xf numFmtId="0" fontId="5" fillId="3" borderId="17" xfId="0" applyFont="1" applyFill="1" applyBorder="1" applyAlignment="1" applyProtection="1">
      <alignment horizontal="center" vertical="center"/>
      <protection hidden="1"/>
    </xf>
    <xf numFmtId="0" fontId="5" fillId="0" borderId="4" xfId="0" applyFont="1" applyBorder="1" applyAlignment="1" applyProtection="1">
      <alignment vertical="center"/>
      <protection hidden="1"/>
    </xf>
    <xf numFmtId="0" fontId="5" fillId="0" borderId="2" xfId="0" applyFont="1" applyBorder="1" applyAlignment="1" applyProtection="1">
      <alignment vertical="center"/>
      <protection hidden="1"/>
    </xf>
    <xf numFmtId="0" fontId="5" fillId="3" borderId="16" xfId="0" applyFont="1" applyFill="1" applyBorder="1" applyAlignment="1" applyProtection="1">
      <alignment horizontal="center" vertical="center"/>
      <protection hidden="1"/>
    </xf>
    <xf numFmtId="0" fontId="5" fillId="0" borderId="17" xfId="0" applyFont="1" applyBorder="1" applyAlignment="1" applyProtection="1">
      <alignment horizontal="right" vertical="center"/>
      <protection hidden="1"/>
    </xf>
    <xf numFmtId="0" fontId="5" fillId="0" borderId="6" xfId="0" applyFont="1" applyBorder="1" applyAlignment="1" applyProtection="1">
      <alignment vertical="center"/>
      <protection hidden="1"/>
    </xf>
    <xf numFmtId="0" fontId="5" fillId="0" borderId="7" xfId="0" applyFont="1" applyBorder="1" applyAlignment="1" applyProtection="1">
      <alignment vertical="center"/>
      <protection hidden="1"/>
    </xf>
    <xf numFmtId="0" fontId="5" fillId="0" borderId="20" xfId="0" applyFont="1" applyBorder="1" applyAlignment="1" applyProtection="1">
      <alignment vertical="center"/>
      <protection hidden="1"/>
    </xf>
    <xf numFmtId="0" fontId="5" fillId="3" borderId="18" xfId="0" applyFont="1" applyFill="1" applyBorder="1" applyAlignment="1" applyProtection="1">
      <alignment horizontal="center" vertical="center"/>
      <protection hidden="1"/>
    </xf>
    <xf numFmtId="0" fontId="5" fillId="0" borderId="15" xfId="0" applyFont="1" applyBorder="1" applyAlignment="1" applyProtection="1">
      <alignment horizontal="center" vertical="center"/>
      <protection hidden="1"/>
    </xf>
    <xf numFmtId="0" fontId="5" fillId="0" borderId="1" xfId="0" applyFont="1" applyFill="1" applyBorder="1" applyAlignment="1" applyProtection="1">
      <alignment vertical="center"/>
      <protection hidden="1"/>
    </xf>
    <xf numFmtId="0" fontId="5" fillId="0" borderId="21" xfId="0" applyFont="1" applyBorder="1" applyAlignment="1" applyProtection="1">
      <alignment horizontal="right" vertical="center"/>
      <protection hidden="1"/>
    </xf>
    <xf numFmtId="0" fontId="5" fillId="0" borderId="5" xfId="0" applyFont="1" applyBorder="1" applyAlignment="1" applyProtection="1">
      <alignment vertical="center"/>
      <protection hidden="1"/>
    </xf>
    <xf numFmtId="0" fontId="5" fillId="0" borderId="0" xfId="0" applyFont="1" applyAlignment="1" applyProtection="1">
      <alignment horizontal="right" vertical="center"/>
      <protection hidden="1"/>
    </xf>
    <xf numFmtId="0" fontId="5" fillId="0" borderId="6" xfId="0" applyFont="1" applyFill="1" applyBorder="1" applyAlignment="1" applyProtection="1">
      <alignment vertical="center"/>
      <protection hidden="1"/>
    </xf>
    <xf numFmtId="0" fontId="5" fillId="0" borderId="16" xfId="0" applyFont="1" applyBorder="1" applyAlignment="1" applyProtection="1">
      <alignment horizontal="center" vertical="center"/>
      <protection hidden="1"/>
    </xf>
    <xf numFmtId="0" fontId="5" fillId="3" borderId="19" xfId="0" applyFont="1" applyFill="1" applyBorder="1" applyAlignment="1" applyProtection="1">
      <alignment horizontal="center" vertical="center"/>
      <protection hidden="1"/>
    </xf>
    <xf numFmtId="0" fontId="5" fillId="0" borderId="0" xfId="0" applyFont="1" applyFill="1" applyBorder="1" applyAlignment="1" applyProtection="1">
      <alignment vertical="center"/>
      <protection hidden="1"/>
    </xf>
    <xf numFmtId="0" fontId="5" fillId="0" borderId="22" xfId="0" applyFont="1" applyBorder="1" applyAlignment="1" applyProtection="1">
      <alignment horizontal="right" vertical="center"/>
      <protection hidden="1"/>
    </xf>
    <xf numFmtId="0" fontId="5" fillId="0" borderId="13" xfId="0" applyFont="1" applyBorder="1" applyAlignment="1" applyProtection="1">
      <alignment vertical="center"/>
      <protection hidden="1"/>
    </xf>
    <xf numFmtId="0" fontId="5" fillId="0" borderId="8" xfId="0" applyFont="1" applyFill="1" applyBorder="1" applyAlignment="1" applyProtection="1">
      <alignment vertical="center"/>
      <protection hidden="1"/>
    </xf>
    <xf numFmtId="0" fontId="5" fillId="0" borderId="36" xfId="0" applyFont="1" applyBorder="1" applyAlignment="1" applyProtection="1">
      <alignment vertical="center"/>
      <protection hidden="1"/>
    </xf>
    <xf numFmtId="0" fontId="5" fillId="0" borderId="37" xfId="0" applyFont="1" applyFill="1" applyBorder="1" applyAlignment="1" applyProtection="1">
      <alignment vertical="center"/>
      <protection hidden="1"/>
    </xf>
    <xf numFmtId="0" fontId="5" fillId="0" borderId="23" xfId="0" applyFont="1" applyBorder="1" applyAlignment="1" applyProtection="1">
      <alignment vertical="center"/>
      <protection hidden="1"/>
    </xf>
    <xf numFmtId="0" fontId="5" fillId="0" borderId="8" xfId="0" applyFont="1" applyBorder="1" applyAlignment="1" applyProtection="1">
      <alignment vertical="center"/>
      <protection hidden="1"/>
    </xf>
    <xf numFmtId="0" fontId="5" fillId="0" borderId="0" xfId="0" applyFont="1" applyFill="1" applyProtection="1">
      <protection hidden="1"/>
    </xf>
    <xf numFmtId="0" fontId="10" fillId="0" borderId="0" xfId="0" applyFont="1" applyProtection="1">
      <protection hidden="1"/>
    </xf>
    <xf numFmtId="0" fontId="12" fillId="0" borderId="0" xfId="0" applyFont="1" applyAlignment="1" applyProtection="1">
      <alignment horizontal="left"/>
      <protection hidden="1"/>
    </xf>
    <xf numFmtId="0" fontId="5" fillId="0" borderId="0" xfId="0" quotePrefix="1" applyFont="1" applyProtection="1">
      <protection hidden="1"/>
    </xf>
    <xf numFmtId="0" fontId="5" fillId="0" borderId="0" xfId="0" applyFont="1" applyAlignment="1" applyProtection="1">
      <alignment horizontal="center"/>
      <protection locked="0" hidden="1"/>
    </xf>
    <xf numFmtId="0" fontId="11" fillId="2" borderId="9" xfId="0" applyFont="1" applyFill="1" applyBorder="1" applyAlignment="1" applyProtection="1">
      <alignment horizontal="center"/>
      <protection hidden="1"/>
    </xf>
    <xf numFmtId="0" fontId="5" fillId="0" borderId="9" xfId="0" applyFont="1" applyBorder="1" applyAlignment="1" applyProtection="1">
      <alignment horizontal="center"/>
      <protection hidden="1"/>
    </xf>
    <xf numFmtId="0" fontId="5" fillId="0" borderId="9" xfId="0" applyFont="1" applyBorder="1" applyAlignment="1" applyProtection="1">
      <alignment horizontal="center"/>
      <protection locked="0" hidden="1"/>
    </xf>
    <xf numFmtId="0" fontId="8" fillId="0" borderId="0" xfId="0" applyFont="1" applyAlignment="1" applyProtection="1">
      <alignment horizontal="center"/>
      <protection hidden="1"/>
    </xf>
    <xf numFmtId="0" fontId="19" fillId="0" borderId="0" xfId="0" applyFont="1" applyAlignment="1" applyProtection="1">
      <alignment horizontal="left" vertical="center" wrapText="1"/>
      <protection hidden="1"/>
    </xf>
    <xf numFmtId="0" fontId="5" fillId="0" borderId="0" xfId="0" applyFont="1" applyAlignment="1" applyProtection="1">
      <alignment horizontal="center"/>
      <protection hidden="1"/>
    </xf>
    <xf numFmtId="0" fontId="5" fillId="0" borderId="0" xfId="0" applyFont="1" applyAlignment="1" applyProtection="1">
      <protection hidden="1"/>
    </xf>
    <xf numFmtId="0" fontId="5" fillId="0" borderId="0" xfId="0" applyFont="1" applyFill="1" applyBorder="1" applyAlignment="1" applyProtection="1">
      <alignment horizontal="center"/>
      <protection hidden="1"/>
    </xf>
    <xf numFmtId="164" fontId="5" fillId="0" borderId="0" xfId="0" applyNumberFormat="1" applyFont="1" applyFill="1" applyBorder="1" applyAlignment="1" applyProtection="1">
      <alignment horizontal="center"/>
      <protection hidden="1"/>
    </xf>
    <xf numFmtId="0" fontId="5" fillId="0" borderId="9" xfId="0" applyFont="1" applyBorder="1" applyAlignment="1" applyProtection="1">
      <alignment horizontal="center"/>
      <protection hidden="1"/>
    </xf>
    <xf numFmtId="0" fontId="6" fillId="0" borderId="0" xfId="0" applyFont="1" applyAlignment="1" applyProtection="1">
      <protection hidden="1"/>
    </xf>
    <xf numFmtId="0" fontId="27" fillId="2" borderId="9" xfId="0" applyFont="1" applyFill="1" applyBorder="1" applyAlignment="1">
      <alignment horizontal="left" vertical="center" wrapText="1"/>
    </xf>
    <xf numFmtId="0" fontId="0" fillId="0" borderId="9" xfId="0" applyBorder="1" applyAlignment="1">
      <alignment vertical="center" wrapText="1"/>
    </xf>
    <xf numFmtId="0" fontId="0" fillId="0" borderId="0" xfId="0" applyAlignment="1">
      <alignment vertical="center" wrapText="1"/>
    </xf>
    <xf numFmtId="0" fontId="25" fillId="0" borderId="0" xfId="0" applyFont="1" applyAlignment="1">
      <alignment vertical="center" wrapText="1"/>
    </xf>
    <xf numFmtId="0" fontId="0" fillId="3" borderId="9" xfId="0" applyFill="1" applyBorder="1" applyAlignment="1">
      <alignment vertical="center" wrapText="1"/>
    </xf>
    <xf numFmtId="0" fontId="0" fillId="0" borderId="9" xfId="0" applyBorder="1" applyAlignment="1" applyProtection="1">
      <alignment vertical="center" wrapText="1"/>
      <protection locked="0"/>
    </xf>
    <xf numFmtId="0" fontId="25" fillId="0" borderId="0" xfId="0" applyFont="1" applyProtection="1">
      <protection hidden="1"/>
    </xf>
    <xf numFmtId="165" fontId="5" fillId="3" borderId="9" xfId="0" applyNumberFormat="1" applyFont="1" applyFill="1" applyBorder="1" applyAlignment="1" applyProtection="1">
      <alignment horizontal="center"/>
      <protection hidden="1"/>
    </xf>
    <xf numFmtId="0" fontId="9" fillId="0" borderId="0" xfId="0" applyFont="1" applyProtection="1">
      <protection hidden="1"/>
    </xf>
    <xf numFmtId="0" fontId="5" fillId="3" borderId="0" xfId="0" applyFont="1" applyFill="1" applyAlignment="1" applyProtection="1">
      <alignment horizontal="center"/>
      <protection hidden="1"/>
    </xf>
    <xf numFmtId="164" fontId="5" fillId="3" borderId="0" xfId="0" applyNumberFormat="1" applyFont="1" applyFill="1" applyAlignment="1" applyProtection="1">
      <alignment horizontal="center"/>
      <protection hidden="1"/>
    </xf>
    <xf numFmtId="0" fontId="6" fillId="2" borderId="9" xfId="0" applyFont="1" applyFill="1" applyBorder="1" applyProtection="1">
      <protection hidden="1"/>
    </xf>
    <xf numFmtId="0" fontId="5" fillId="3" borderId="9" xfId="0" applyFont="1" applyFill="1" applyBorder="1" applyProtection="1">
      <protection hidden="1"/>
    </xf>
    <xf numFmtId="0" fontId="5" fillId="0" borderId="9" xfId="0" applyFont="1" applyBorder="1" applyProtection="1">
      <protection hidden="1"/>
    </xf>
    <xf numFmtId="0" fontId="6" fillId="0" borderId="0" xfId="0" applyFont="1" applyAlignment="1" applyProtection="1">
      <alignment horizontal="center"/>
      <protection hidden="1"/>
    </xf>
    <xf numFmtId="0" fontId="26" fillId="0" borderId="39" xfId="0" applyFont="1" applyBorder="1" applyAlignment="1" applyProtection="1">
      <alignment horizontal="center" vertical="center"/>
      <protection locked="0" hidden="1"/>
    </xf>
    <xf numFmtId="0" fontId="26" fillId="0" borderId="40" xfId="0" applyFont="1" applyBorder="1" applyAlignment="1" applyProtection="1">
      <alignment horizontal="center" vertical="center"/>
      <protection locked="0" hidden="1"/>
    </xf>
    <xf numFmtId="0" fontId="26" fillId="0" borderId="41" xfId="0" applyFont="1" applyBorder="1" applyAlignment="1" applyProtection="1">
      <alignment horizontal="center" vertical="center"/>
      <protection locked="0" hidden="1"/>
    </xf>
    <xf numFmtId="0" fontId="26" fillId="0" borderId="42" xfId="0" applyFont="1" applyBorder="1" applyAlignment="1" applyProtection="1">
      <alignment horizontal="center" vertical="center"/>
      <protection locked="0" hidden="1"/>
    </xf>
    <xf numFmtId="0" fontId="26" fillId="0" borderId="43" xfId="0" applyFont="1" applyBorder="1" applyAlignment="1" applyProtection="1">
      <alignment horizontal="center" vertical="center"/>
      <protection locked="0" hidden="1"/>
    </xf>
    <xf numFmtId="0" fontId="26" fillId="0" borderId="44" xfId="0" applyFont="1" applyBorder="1" applyAlignment="1" applyProtection="1">
      <alignment horizontal="center" vertical="center"/>
      <protection locked="0" hidden="1"/>
    </xf>
    <xf numFmtId="0" fontId="0" fillId="0" borderId="0" xfId="0" applyAlignment="1" applyProtection="1">
      <alignment horizontal="center"/>
      <protection hidden="1"/>
    </xf>
    <xf numFmtId="0" fontId="24" fillId="2" borderId="0" xfId="0" applyFont="1" applyFill="1" applyAlignment="1" applyProtection="1">
      <alignment horizontal="center" vertical="center"/>
      <protection hidden="1"/>
    </xf>
    <xf numFmtId="0" fontId="16" fillId="0" borderId="0" xfId="2" applyAlignment="1" applyProtection="1">
      <alignment horizontal="center"/>
      <protection hidden="1"/>
    </xf>
    <xf numFmtId="0" fontId="11" fillId="2" borderId="0" xfId="0" applyFont="1" applyFill="1" applyAlignment="1" applyProtection="1">
      <alignment horizontal="center"/>
      <protection hidden="1"/>
    </xf>
    <xf numFmtId="0" fontId="11" fillId="2" borderId="9" xfId="0" applyFont="1" applyFill="1" applyBorder="1" applyAlignment="1" applyProtection="1">
      <alignment horizontal="center"/>
      <protection hidden="1"/>
    </xf>
    <xf numFmtId="0" fontId="18" fillId="0" borderId="0" xfId="2" applyFont="1" applyAlignment="1" applyProtection="1">
      <alignment horizontal="center"/>
      <protection hidden="1"/>
    </xf>
    <xf numFmtId="0" fontId="0" fillId="0" borderId="10" xfId="0" applyBorder="1" applyAlignment="1">
      <alignment horizontal="left" vertical="center" wrapText="1"/>
    </xf>
    <xf numFmtId="0" fontId="0" fillId="0" borderId="12" xfId="0" applyBorder="1" applyAlignment="1">
      <alignment horizontal="left" vertical="center" wrapText="1"/>
    </xf>
    <xf numFmtId="0" fontId="15" fillId="2" borderId="0" xfId="0" applyFont="1" applyFill="1" applyAlignment="1">
      <alignment horizontal="center"/>
    </xf>
    <xf numFmtId="0" fontId="17" fillId="0" borderId="0" xfId="2" applyFont="1" applyAlignment="1">
      <alignment horizontal="center"/>
    </xf>
    <xf numFmtId="0" fontId="0" fillId="0" borderId="9" xfId="0" applyBorder="1" applyAlignment="1">
      <alignment horizontal="left" vertical="center" wrapText="1"/>
    </xf>
    <xf numFmtId="0" fontId="11" fillId="2" borderId="10" xfId="0" applyFont="1" applyFill="1" applyBorder="1" applyAlignment="1" applyProtection="1">
      <alignment horizontal="center" vertical="center"/>
      <protection hidden="1"/>
    </xf>
    <xf numFmtId="0" fontId="11" fillId="2" borderId="11" xfId="0" applyFont="1" applyFill="1" applyBorder="1" applyAlignment="1" applyProtection="1">
      <alignment horizontal="center" vertical="center"/>
      <protection hidden="1"/>
    </xf>
    <xf numFmtId="0" fontId="5" fillId="0" borderId="26" xfId="0" applyFont="1" applyBorder="1" applyAlignment="1" applyProtection="1">
      <alignment horizontal="center" vertical="center"/>
      <protection hidden="1"/>
    </xf>
    <xf numFmtId="0" fontId="5" fillId="0" borderId="27"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4"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5" fillId="0" borderId="25" xfId="0" applyFont="1" applyBorder="1" applyAlignment="1" applyProtection="1">
      <alignment horizontal="center" vertical="center"/>
      <protection hidden="1"/>
    </xf>
    <xf numFmtId="0" fontId="5" fillId="0" borderId="34" xfId="0" applyFont="1" applyBorder="1" applyAlignment="1" applyProtection="1">
      <alignment horizontal="center" vertical="center"/>
      <protection hidden="1"/>
    </xf>
    <xf numFmtId="0" fontId="5" fillId="0" borderId="35"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11" xfId="0" applyFont="1" applyFill="1" applyBorder="1" applyAlignment="1" applyProtection="1">
      <alignment horizontal="center"/>
      <protection hidden="1"/>
    </xf>
    <xf numFmtId="0" fontId="11" fillId="2" borderId="28" xfId="0" applyFont="1" applyFill="1" applyBorder="1" applyAlignment="1" applyProtection="1">
      <alignment horizontal="center" vertical="center"/>
      <protection hidden="1"/>
    </xf>
    <xf numFmtId="0" fontId="11" fillId="2" borderId="29" xfId="0" applyFont="1" applyFill="1" applyBorder="1" applyAlignment="1" applyProtection="1">
      <alignment horizontal="center" vertical="center"/>
      <protection hidden="1"/>
    </xf>
    <xf numFmtId="0" fontId="11" fillId="2" borderId="30" xfId="0" applyFont="1" applyFill="1" applyBorder="1" applyAlignment="1" applyProtection="1">
      <alignment horizontal="center" vertical="center"/>
      <protection hidden="1"/>
    </xf>
    <xf numFmtId="0" fontId="5" fillId="0" borderId="0" xfId="0" applyFont="1" applyAlignment="1" applyProtection="1">
      <alignment horizontal="center"/>
      <protection hidden="1"/>
    </xf>
    <xf numFmtId="0" fontId="5" fillId="0" borderId="9" xfId="0" applyFont="1" applyBorder="1" applyAlignment="1" applyProtection="1">
      <alignment horizontal="center"/>
      <protection hidden="1"/>
    </xf>
    <xf numFmtId="0" fontId="5" fillId="0" borderId="0" xfId="0" applyFont="1" applyBorder="1" applyAlignment="1" applyProtection="1">
      <alignment horizontal="center"/>
      <protection hidden="1"/>
    </xf>
    <xf numFmtId="0" fontId="11" fillId="2" borderId="12" xfId="0" applyFont="1" applyFill="1" applyBorder="1" applyAlignment="1" applyProtection="1">
      <alignment horizontal="center"/>
      <protection hidden="1"/>
    </xf>
    <xf numFmtId="0" fontId="5" fillId="0" borderId="10" xfId="0" applyFont="1" applyBorder="1" applyAlignment="1" applyProtection="1">
      <alignment horizontal="center"/>
      <protection hidden="1"/>
    </xf>
    <xf numFmtId="0" fontId="5" fillId="0" borderId="11" xfId="0" applyFont="1" applyBorder="1" applyAlignment="1" applyProtection="1">
      <alignment horizontal="center"/>
      <protection hidden="1"/>
    </xf>
    <xf numFmtId="0" fontId="5" fillId="0" borderId="12" xfId="0" applyFont="1" applyBorder="1" applyAlignment="1" applyProtection="1">
      <alignment horizontal="center"/>
      <protection hidden="1"/>
    </xf>
    <xf numFmtId="0" fontId="19" fillId="0" borderId="0" xfId="0" applyFont="1" applyAlignment="1" applyProtection="1">
      <alignment horizontal="left" vertical="center" wrapText="1"/>
      <protection hidden="1"/>
    </xf>
    <xf numFmtId="0" fontId="12" fillId="0" borderId="31" xfId="0" applyFont="1" applyBorder="1" applyAlignment="1" applyProtection="1">
      <alignment horizontal="center"/>
      <protection locked="0" hidden="1"/>
    </xf>
    <xf numFmtId="0" fontId="12" fillId="0" borderId="32" xfId="0" applyFont="1" applyBorder="1" applyAlignment="1" applyProtection="1">
      <alignment horizontal="center"/>
      <protection locked="0" hidden="1"/>
    </xf>
    <xf numFmtId="0" fontId="12" fillId="0" borderId="33" xfId="0" applyFont="1" applyBorder="1" applyAlignment="1" applyProtection="1">
      <alignment horizontal="center"/>
      <protection locked="0" hidden="1"/>
    </xf>
    <xf numFmtId="0" fontId="5" fillId="0" borderId="0" xfId="0" applyFont="1" applyFill="1" applyBorder="1" applyAlignment="1" applyProtection="1">
      <alignment horizontal="center"/>
      <protection hidden="1"/>
    </xf>
    <xf numFmtId="0" fontId="7" fillId="0" borderId="0" xfId="0" applyFont="1" applyAlignment="1">
      <alignment horizontal="left" wrapText="1"/>
    </xf>
    <xf numFmtId="0" fontId="14" fillId="0" borderId="9" xfId="0" applyFont="1" applyFill="1" applyBorder="1" applyAlignment="1" applyProtection="1">
      <alignment horizontal="center" vertical="center"/>
      <protection hidden="1"/>
    </xf>
    <xf numFmtId="0" fontId="13" fillId="0" borderId="3" xfId="0" applyFont="1" applyBorder="1" applyAlignment="1" applyProtection="1">
      <alignment horizontal="center" wrapText="1"/>
      <protection hidden="1"/>
    </xf>
    <xf numFmtId="0" fontId="19" fillId="0" borderId="0" xfId="0" applyFont="1" applyAlignment="1" applyProtection="1">
      <alignment vertical="center" wrapText="1"/>
      <protection hidden="1"/>
    </xf>
    <xf numFmtId="0" fontId="5" fillId="0" borderId="0" xfId="0" applyFont="1" applyAlignment="1">
      <alignment horizontal="left" vertical="center" wrapText="1"/>
    </xf>
    <xf numFmtId="0" fontId="22" fillId="0" borderId="0" xfId="0" applyFont="1" applyAlignment="1">
      <alignment horizontal="center" vertical="center" wrapText="1"/>
    </xf>
    <xf numFmtId="0" fontId="21" fillId="0" borderId="0" xfId="0" applyFont="1" applyAlignment="1">
      <alignment horizontal="left" vertical="center"/>
    </xf>
  </cellXfs>
  <cellStyles count="3">
    <cellStyle name="Hipervínculo" xfId="2" builtinId="8"/>
    <cellStyle name="Normal" xfId="0" builtinId="0"/>
    <cellStyle name="Porcentaje" xfId="1" builtinId="5"/>
  </cellStyles>
  <dxfs count="145">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CCFFCC"/>
        </patternFill>
      </fill>
    </dxf>
    <dxf>
      <fill>
        <patternFill>
          <bgColor rgb="FFFFCCCC"/>
        </patternFill>
      </fill>
    </dxf>
    <dxf>
      <fill>
        <patternFill>
          <bgColor rgb="FFFFFFCC"/>
        </patternFill>
      </fill>
    </dxf>
    <dxf>
      <font>
        <color theme="0"/>
      </font>
      <fill>
        <patternFill>
          <bgColor rgb="FF0070C0"/>
        </patternFill>
      </fill>
    </dxf>
    <dxf>
      <border>
        <left style="thin">
          <color auto="1"/>
        </left>
        <right style="thin">
          <color auto="1"/>
        </right>
        <top style="thin">
          <color auto="1"/>
        </top>
        <bottom style="thin">
          <color auto="1"/>
        </bottom>
        <vertical/>
        <horizontal/>
      </border>
    </dxf>
    <dxf>
      <fill>
        <patternFill>
          <bgColor rgb="FFCCFFCC"/>
        </patternFill>
      </fill>
    </dxf>
    <dxf>
      <border>
        <left style="thin">
          <color auto="1"/>
        </left>
        <right style="thin">
          <color auto="1"/>
        </right>
        <top style="thin">
          <color auto="1"/>
        </top>
        <bottom style="thin">
          <color auto="1"/>
        </bottom>
        <vertical/>
        <horizontal/>
      </border>
    </dxf>
    <dxf>
      <fill>
        <patternFill>
          <bgColor rgb="FFFFFFCC"/>
        </patternFill>
      </fill>
    </dxf>
    <dxf>
      <fill>
        <patternFill>
          <bgColor rgb="FFFFCCCC"/>
        </patternFill>
      </fill>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0070C0"/>
        </patternFill>
      </fill>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theme="0"/>
      </font>
      <fill>
        <patternFill>
          <bgColor rgb="FF0070C0"/>
        </patternFill>
      </fill>
      <border>
        <left style="thin">
          <color auto="1"/>
        </left>
        <right style="thin">
          <color auto="1"/>
        </right>
        <top style="thin">
          <color auto="1"/>
        </top>
        <bottom style="thin">
          <color auto="1"/>
        </bottom>
        <vertical/>
        <horizontal/>
      </border>
    </dxf>
    <dxf>
      <font>
        <b/>
        <i val="0"/>
        <color theme="0"/>
      </font>
      <fill>
        <patternFill>
          <bgColor rgb="FF0070C0"/>
        </patternFill>
      </fill>
      <border>
        <left style="thin">
          <color auto="1"/>
        </left>
        <right style="thin">
          <color auto="1"/>
        </right>
        <top style="thin">
          <color auto="1"/>
        </top>
        <bottom style="thin">
          <color auto="1"/>
        </bottom>
        <vertical/>
        <horizontal/>
      </border>
    </dxf>
    <dxf>
      <font>
        <color theme="0"/>
      </font>
      <fill>
        <patternFill>
          <bgColor rgb="FF0070C0"/>
        </patternFill>
      </fill>
    </dxf>
    <dxf>
      <font>
        <color theme="0"/>
      </font>
      <fill>
        <patternFill>
          <bgColor rgb="FF0070C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theme="0"/>
      </font>
      <fill>
        <patternFill>
          <bgColor rgb="FF0070C0"/>
        </patternFill>
      </fill>
      <border>
        <left style="thin">
          <color auto="1"/>
        </left>
        <right style="thin">
          <color auto="1"/>
        </right>
        <top style="thin">
          <color auto="1"/>
        </top>
        <bottom style="thin">
          <color auto="1"/>
        </bottom>
        <vertical/>
        <horizontal/>
      </border>
    </dxf>
    <dxf>
      <font>
        <b/>
        <i val="0"/>
        <color theme="0"/>
      </font>
      <fill>
        <patternFill>
          <bgColor rgb="FF0070C0"/>
        </patternFill>
      </fill>
      <border>
        <left style="thin">
          <color auto="1"/>
        </left>
        <right style="thin">
          <color auto="1"/>
        </right>
        <top style="thin">
          <color auto="1"/>
        </top>
        <bottom style="thin">
          <color auto="1"/>
        </bottom>
        <vertical/>
        <horizontal/>
      </border>
    </dxf>
    <dxf>
      <font>
        <b/>
        <i val="0"/>
        <color theme="0"/>
      </font>
      <fill>
        <patternFill>
          <bgColor rgb="FF0070C0"/>
        </patternFill>
      </fill>
      <border>
        <left style="thin">
          <color auto="1"/>
        </left>
        <right style="thin">
          <color auto="1"/>
        </right>
        <top style="thin">
          <color auto="1"/>
        </top>
        <bottom style="thin">
          <color auto="1"/>
        </bottom>
        <vertical/>
        <horizontal/>
      </border>
    </dxf>
    <dxf>
      <font>
        <b/>
        <i val="0"/>
        <color theme="0"/>
      </font>
      <fill>
        <patternFill>
          <bgColor rgb="FF0070C0"/>
        </patternFill>
      </fill>
      <border>
        <left style="thin">
          <color auto="1"/>
        </left>
        <right style="thin">
          <color auto="1"/>
        </right>
        <top style="thin">
          <color auto="1"/>
        </top>
        <bottom style="thin">
          <color auto="1"/>
        </bottom>
        <vertical/>
        <horizontal/>
      </border>
    </dxf>
    <dxf>
      <font>
        <color theme="0"/>
      </font>
      <fill>
        <patternFill>
          <bgColor rgb="FF0070C0"/>
        </patternFill>
      </fill>
    </dxf>
    <dxf>
      <font>
        <color theme="0"/>
      </font>
      <fill>
        <patternFill>
          <bgColor rgb="FF0070C0"/>
        </patternFill>
      </fill>
    </dxf>
    <dxf>
      <border>
        <left style="thin">
          <color auto="1"/>
        </left>
        <right style="thin">
          <color auto="1"/>
        </right>
        <top style="thin">
          <color auto="1"/>
        </top>
        <bottom style="thin">
          <color auto="1"/>
        </bottom>
        <vertical/>
        <horizontal/>
      </border>
    </dxf>
    <dxf>
      <font>
        <color theme="0"/>
      </font>
      <fill>
        <patternFill>
          <bgColor rgb="FF0070C0"/>
        </patternFill>
      </fill>
    </dxf>
    <dxf>
      <font>
        <color theme="0"/>
      </font>
      <fill>
        <patternFill>
          <bgColor rgb="FF0070C0"/>
        </patternFill>
      </fill>
    </dxf>
    <dxf>
      <border>
        <left style="thin">
          <color auto="1"/>
        </left>
        <right style="thin">
          <color auto="1"/>
        </right>
        <top style="thin">
          <color auto="1"/>
        </top>
        <bottom style="thin">
          <color auto="1"/>
        </bottom>
        <vertical/>
        <horizontal/>
      </border>
    </dxf>
    <dxf>
      <font>
        <color theme="0"/>
      </font>
      <fill>
        <patternFill>
          <bgColor rgb="FF0070C0"/>
        </patternFill>
      </fill>
    </dxf>
    <dxf>
      <font>
        <color theme="0"/>
      </font>
      <fill>
        <patternFill>
          <bgColor rgb="FF0070C0"/>
        </patternFill>
      </fill>
    </dxf>
    <dxf>
      <border>
        <left style="thin">
          <color auto="1"/>
        </left>
        <right style="thin">
          <color auto="1"/>
        </right>
        <top style="thin">
          <color auto="1"/>
        </top>
        <bottom style="thin">
          <color auto="1"/>
        </bottom>
        <vertical/>
        <horizontal/>
      </border>
    </dxf>
    <dxf>
      <font>
        <color theme="0"/>
      </font>
      <fill>
        <patternFill>
          <bgColor rgb="FF0070C0"/>
        </patternFill>
      </fill>
    </dxf>
    <dxf>
      <font>
        <color theme="0"/>
      </font>
      <fill>
        <patternFill>
          <bgColor rgb="FF0070C0"/>
        </patternFill>
      </fill>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0"/>
      </font>
      <fill>
        <patternFill>
          <bgColor rgb="FF0070C0"/>
        </patternFill>
      </fill>
      <border>
        <left style="thin">
          <color auto="1"/>
        </left>
        <right style="thin">
          <color auto="1"/>
        </right>
        <top style="thin">
          <color auto="1"/>
        </top>
        <bottom style="thin">
          <color auto="1"/>
        </bottom>
        <vertical/>
        <horizontal/>
      </border>
    </dxf>
    <dxf>
      <font>
        <b/>
        <i val="0"/>
        <color theme="0"/>
      </font>
      <fill>
        <patternFill>
          <bgColor rgb="FF0070C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theme="0"/>
      </font>
      <fill>
        <patternFill>
          <bgColor rgb="FF0070C0"/>
        </patternFill>
      </fill>
      <border>
        <left style="thin">
          <color auto="1"/>
        </left>
        <right style="thin">
          <color auto="1"/>
        </right>
        <top style="thin">
          <color auto="1"/>
        </top>
        <bottom style="thin">
          <color auto="1"/>
        </bottom>
        <vertical/>
        <horizontal/>
      </border>
    </dxf>
    <dxf>
      <font>
        <b/>
        <i val="0"/>
        <color theme="0"/>
      </font>
      <fill>
        <patternFill>
          <bgColor rgb="FF0070C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CC6600"/>
        </patternFill>
      </fill>
    </dxf>
    <dxf>
      <fill>
        <patternFill>
          <bgColor theme="0" tint="-0.14996795556505021"/>
        </patternFill>
      </fill>
    </dxf>
    <dxf>
      <fill>
        <patternFill>
          <bgColor rgb="FFFFCC00"/>
        </patternFill>
      </fill>
    </dxf>
    <dxf>
      <border>
        <left style="thin">
          <color auto="1"/>
        </left>
        <right style="thin">
          <color auto="1"/>
        </right>
        <top style="thin">
          <color auto="1"/>
        </top>
        <bottom style="thin">
          <color auto="1"/>
        </bottom>
        <vertical/>
        <horizontal/>
      </border>
    </dxf>
    <dxf>
      <font>
        <color theme="0"/>
      </font>
      <fill>
        <patternFill>
          <bgColor rgb="FF0070C0"/>
        </patternFill>
      </fill>
    </dxf>
    <dxf>
      <fill>
        <patternFill>
          <bgColor rgb="FFFFFFCC"/>
        </patternFill>
      </fill>
    </dxf>
    <dxf>
      <border>
        <left style="thin">
          <color auto="1"/>
        </left>
        <right style="thin">
          <color auto="1"/>
        </right>
        <top style="thin">
          <color auto="1"/>
        </top>
        <bottom style="thin">
          <color auto="1"/>
        </bottom>
        <vertical/>
        <horizontal/>
      </border>
    </dxf>
    <dxf>
      <font>
        <color theme="0"/>
      </font>
      <fill>
        <patternFill>
          <bgColor rgb="FF0070C0"/>
        </patternFill>
      </fill>
    </dxf>
    <dxf>
      <fill>
        <patternFill>
          <bgColor rgb="FFFFFFCC"/>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CCFFCC"/>
        </patternFill>
      </fill>
    </dxf>
    <dxf>
      <fill>
        <patternFill>
          <bgColor rgb="FFFFCCCC"/>
        </patternFill>
      </fill>
    </dxf>
    <dxf>
      <fill>
        <patternFill>
          <bgColor rgb="FFFFFFCC"/>
        </patternFill>
      </fill>
    </dxf>
    <dxf>
      <font>
        <color theme="0"/>
      </font>
      <fill>
        <patternFill>
          <bgColor rgb="FF0070C0"/>
        </patternFill>
      </fill>
    </dxf>
    <dxf>
      <border>
        <left style="thin">
          <color auto="1"/>
        </left>
        <right style="thin">
          <color auto="1"/>
        </right>
        <top style="thin">
          <color auto="1"/>
        </top>
        <bottom style="thin">
          <color auto="1"/>
        </bottom>
        <vertical/>
        <horizontal/>
      </border>
    </dxf>
    <dxf>
      <fill>
        <patternFill>
          <bgColor rgb="FFCCFFCC"/>
        </patternFill>
      </fill>
    </dxf>
    <dxf>
      <border>
        <left style="thin">
          <color auto="1"/>
        </left>
        <right style="thin">
          <color auto="1"/>
        </right>
        <top style="thin">
          <color auto="1"/>
        </top>
        <bottom style="thin">
          <color auto="1"/>
        </bottom>
        <vertical/>
        <horizontal/>
      </border>
    </dxf>
    <dxf>
      <fill>
        <patternFill>
          <bgColor rgb="FFFFFFCC"/>
        </patternFill>
      </fill>
    </dxf>
    <dxf>
      <fill>
        <patternFill>
          <bgColor rgb="FFFFCCCC"/>
        </patternFill>
      </fill>
    </dxf>
    <dxf>
      <fill>
        <patternFill>
          <bgColor rgb="FFCCFFCC"/>
        </patternFill>
      </fill>
    </dxf>
    <dxf>
      <fill>
        <patternFill>
          <bgColor rgb="FFFFCCCC"/>
        </patternFill>
      </fill>
    </dxf>
    <dxf>
      <fill>
        <patternFill>
          <bgColor rgb="FFFFFFCC"/>
        </patternFill>
      </fill>
    </dxf>
    <dxf>
      <font>
        <color theme="0"/>
      </font>
      <fill>
        <patternFill>
          <bgColor rgb="FF0070C0"/>
        </patternFill>
      </fill>
    </dxf>
    <dxf>
      <border>
        <left style="thin">
          <color auto="1"/>
        </left>
        <right style="thin">
          <color auto="1"/>
        </right>
        <top style="thin">
          <color auto="1"/>
        </top>
        <bottom style="thin">
          <color auto="1"/>
        </bottom>
        <vertical/>
        <horizontal/>
      </border>
    </dxf>
    <dxf>
      <fill>
        <patternFill>
          <bgColor rgb="FFCCFFCC"/>
        </patternFill>
      </fill>
    </dxf>
    <dxf>
      <border>
        <left style="thin">
          <color auto="1"/>
        </left>
        <right style="thin">
          <color auto="1"/>
        </right>
        <top style="thin">
          <color auto="1"/>
        </top>
        <bottom style="thin">
          <color auto="1"/>
        </bottom>
        <vertical/>
        <horizontal/>
      </border>
    </dxf>
    <dxf>
      <fill>
        <patternFill>
          <bgColor rgb="FFFFFFCC"/>
        </patternFill>
      </fill>
    </dxf>
    <dxf>
      <fill>
        <patternFill>
          <bgColor rgb="FFFFCCCC"/>
        </patternFill>
      </fill>
    </dxf>
    <dxf>
      <fill>
        <patternFill>
          <bgColor rgb="FFCCFFCC"/>
        </patternFill>
      </fill>
    </dxf>
    <dxf>
      <fill>
        <patternFill>
          <bgColor rgb="FFFFCCCC"/>
        </patternFill>
      </fill>
    </dxf>
    <dxf>
      <fill>
        <patternFill>
          <bgColor rgb="FFFFFFCC"/>
        </patternFill>
      </fill>
    </dxf>
    <dxf>
      <font>
        <color theme="0"/>
      </font>
      <fill>
        <patternFill>
          <bgColor rgb="FF0070C0"/>
        </patternFill>
      </fill>
    </dxf>
    <dxf>
      <border>
        <left style="thin">
          <color auto="1"/>
        </left>
        <right style="thin">
          <color auto="1"/>
        </right>
        <top style="thin">
          <color auto="1"/>
        </top>
        <bottom style="thin">
          <color auto="1"/>
        </bottom>
        <vertical/>
        <horizontal/>
      </border>
    </dxf>
    <dxf>
      <fill>
        <patternFill>
          <bgColor rgb="FFCCFFCC"/>
        </patternFill>
      </fill>
    </dxf>
    <dxf>
      <border>
        <left style="thin">
          <color auto="1"/>
        </left>
        <right style="thin">
          <color auto="1"/>
        </right>
        <top style="thin">
          <color auto="1"/>
        </top>
        <bottom style="thin">
          <color auto="1"/>
        </bottom>
        <vertical/>
        <horizontal/>
      </border>
    </dxf>
    <dxf>
      <fill>
        <patternFill>
          <bgColor rgb="FFFFFFCC"/>
        </patternFill>
      </fill>
    </dxf>
    <dxf>
      <fill>
        <patternFill>
          <bgColor rgb="FFFFCCCC"/>
        </patternFill>
      </fill>
    </dxf>
    <dxf>
      <fill>
        <patternFill>
          <bgColor rgb="FFCCFFCC"/>
        </patternFill>
      </fill>
    </dxf>
    <dxf>
      <fill>
        <patternFill>
          <bgColor rgb="FFFFCCCC"/>
        </patternFill>
      </fill>
    </dxf>
    <dxf>
      <fill>
        <patternFill>
          <bgColor rgb="FFFFFFCC"/>
        </patternFill>
      </fill>
    </dxf>
    <dxf>
      <font>
        <color theme="0"/>
      </font>
      <fill>
        <patternFill>
          <bgColor rgb="FF0070C0"/>
        </patternFill>
      </fill>
    </dxf>
    <dxf>
      <border>
        <left style="thin">
          <color auto="1"/>
        </left>
        <right style="thin">
          <color auto="1"/>
        </right>
        <top style="thin">
          <color auto="1"/>
        </top>
        <bottom style="thin">
          <color auto="1"/>
        </bottom>
        <vertical/>
        <horizontal/>
      </border>
    </dxf>
    <dxf>
      <fill>
        <patternFill>
          <bgColor rgb="FFCCFFCC"/>
        </patternFill>
      </fill>
    </dxf>
    <dxf>
      <border>
        <left style="thin">
          <color auto="1"/>
        </left>
        <right style="thin">
          <color auto="1"/>
        </right>
        <top style="thin">
          <color auto="1"/>
        </top>
        <bottom style="thin">
          <color auto="1"/>
        </bottom>
        <vertical/>
        <horizontal/>
      </border>
    </dxf>
    <dxf>
      <fill>
        <patternFill>
          <bgColor rgb="FFFFFFCC"/>
        </patternFill>
      </fill>
    </dxf>
    <dxf>
      <fill>
        <patternFill>
          <bgColor rgb="FFFFCCCC"/>
        </patternFill>
      </fill>
    </dxf>
    <dxf>
      <fill>
        <patternFill>
          <bgColor rgb="FFCCFFCC"/>
        </patternFill>
      </fill>
    </dxf>
    <dxf>
      <fill>
        <patternFill>
          <bgColor rgb="FFFFCCCC"/>
        </patternFill>
      </fill>
    </dxf>
    <dxf>
      <fill>
        <patternFill>
          <bgColor rgb="FFFFFFCC"/>
        </patternFill>
      </fill>
    </dxf>
    <dxf>
      <font>
        <color theme="0"/>
      </font>
      <fill>
        <patternFill>
          <bgColor rgb="FF0070C0"/>
        </patternFill>
      </fill>
    </dxf>
    <dxf>
      <border>
        <left style="thin">
          <color auto="1"/>
        </left>
        <right style="thin">
          <color auto="1"/>
        </right>
        <top style="thin">
          <color auto="1"/>
        </top>
        <bottom style="thin">
          <color auto="1"/>
        </bottom>
        <vertical/>
        <horizontal/>
      </border>
    </dxf>
    <dxf>
      <font>
        <color theme="0"/>
      </font>
      <fill>
        <patternFill>
          <bgColor rgb="FF0070C0"/>
        </patternFill>
      </fill>
    </dxf>
    <dxf>
      <fill>
        <patternFill>
          <bgColor rgb="FFFFFFCC"/>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rgb="FF0070C0"/>
        </patternFill>
      </fill>
    </dxf>
    <dxf>
      <fill>
        <patternFill>
          <bgColor rgb="FFFFFFCC"/>
        </patternFill>
      </fill>
    </dxf>
    <dxf>
      <fill>
        <patternFill>
          <bgColor rgb="FFCCFFCC"/>
        </patternFill>
      </fill>
    </dxf>
    <dxf>
      <border>
        <left style="thin">
          <color auto="1"/>
        </left>
        <right style="thin">
          <color auto="1"/>
        </right>
        <top style="thin">
          <color auto="1"/>
        </top>
        <bottom style="thin">
          <color auto="1"/>
        </bottom>
        <vertical/>
        <horizontal/>
      </border>
    </dxf>
    <dxf>
      <fill>
        <patternFill>
          <bgColor rgb="FFFFFFCC"/>
        </patternFill>
      </fill>
    </dxf>
    <dxf>
      <fill>
        <patternFill>
          <bgColor rgb="FFFFCCCC"/>
        </patternFill>
      </fill>
    </dxf>
    <dxf>
      <fill>
        <patternFill>
          <bgColor rgb="FFCCFFCC"/>
        </patternFill>
      </fill>
    </dxf>
    <dxf>
      <fill>
        <patternFill>
          <bgColor rgb="FFFFCCCC"/>
        </patternFill>
      </fill>
    </dxf>
    <dxf>
      <fill>
        <patternFill>
          <bgColor rgb="FFFFFFCC"/>
        </patternFill>
      </fill>
    </dxf>
    <dxf>
      <font>
        <color theme="0"/>
      </font>
      <fill>
        <patternFill>
          <bgColor rgb="FF0070C0"/>
        </patternFill>
      </fill>
    </dxf>
    <dxf>
      <border>
        <left style="thin">
          <color auto="1"/>
        </left>
        <right style="thin">
          <color auto="1"/>
        </right>
        <top style="thin">
          <color auto="1"/>
        </top>
        <bottom style="thin">
          <color auto="1"/>
        </bottom>
        <vertical/>
        <horizontal/>
      </border>
    </dxf>
    <dxf>
      <fill>
        <patternFill>
          <bgColor rgb="FFCCFFCC"/>
        </patternFill>
      </fill>
    </dxf>
    <dxf>
      <border>
        <left style="thin">
          <color auto="1"/>
        </left>
        <right style="thin">
          <color auto="1"/>
        </right>
        <top style="thin">
          <color auto="1"/>
        </top>
        <bottom style="thin">
          <color auto="1"/>
        </bottom>
        <vertical/>
        <horizontal/>
      </border>
    </dxf>
    <dxf>
      <fill>
        <patternFill>
          <bgColor rgb="FFFFFFCC"/>
        </patternFill>
      </fill>
    </dxf>
    <dxf>
      <fill>
        <patternFill>
          <bgColor rgb="FFFFCCCC"/>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CCFFCC"/>
        </patternFill>
      </fill>
    </dxf>
    <dxf>
      <fill>
        <patternFill>
          <bgColor rgb="FFFFCCCC"/>
        </patternFill>
      </fill>
    </dxf>
    <dxf>
      <fill>
        <patternFill>
          <bgColor rgb="FFFFFFCC"/>
        </patternFill>
      </fill>
    </dxf>
    <dxf>
      <font>
        <color theme="0"/>
      </font>
      <fill>
        <patternFill>
          <bgColor rgb="FF0070C0"/>
        </patternFill>
      </fill>
    </dxf>
    <dxf>
      <border>
        <left style="thin">
          <color auto="1"/>
        </left>
        <right style="thin">
          <color auto="1"/>
        </right>
        <top style="thin">
          <color auto="1"/>
        </top>
        <bottom style="thin">
          <color auto="1"/>
        </bottom>
        <vertical/>
        <horizontal/>
      </border>
    </dxf>
    <dxf>
      <fill>
        <patternFill>
          <bgColor rgb="FFCCFFCC"/>
        </patternFill>
      </fill>
    </dxf>
    <dxf>
      <border>
        <left style="thin">
          <color auto="1"/>
        </left>
        <right style="thin">
          <color auto="1"/>
        </right>
        <top style="thin">
          <color auto="1"/>
        </top>
        <bottom style="thin">
          <color auto="1"/>
        </bottom>
        <vertical/>
        <horizontal/>
      </border>
    </dxf>
    <dxf>
      <fill>
        <patternFill>
          <bgColor rgb="FFFFFFCC"/>
        </patternFill>
      </fill>
    </dxf>
    <dxf>
      <fill>
        <patternFill>
          <bgColor rgb="FFFFCCCC"/>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144"/>
      <tableStyleElement type="headerRow" dxfId="143"/>
    </tableStyle>
  </tableStyles>
  <colors>
    <mruColors>
      <color rgb="FFCC6600"/>
      <color rgb="FF993300"/>
      <color rgb="FFFFCC00"/>
      <color rgb="FFFFFFCC"/>
      <color rgb="FFFFCC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_rels/drawing10.xml.rels><?xml version="1.0" encoding="UTF-8" standalone="yes"?>
<Relationships xmlns="http://schemas.openxmlformats.org/package/2006/relationships"><Relationship Id="rId8" Type="http://schemas.openxmlformats.org/officeDocument/2006/relationships/hyperlink" Target="#Equipos!A1"/><Relationship Id="rId13" Type="http://schemas.openxmlformats.org/officeDocument/2006/relationships/hyperlink" Target="#Grupos!A1"/><Relationship Id="rId3" Type="http://schemas.openxmlformats.org/officeDocument/2006/relationships/hyperlink" Target="http://welcome2018.com/es/" TargetMode="External"/><Relationship Id="rId7" Type="http://schemas.openxmlformats.org/officeDocument/2006/relationships/hyperlink" Target="#FaseFinal!A1"/><Relationship Id="rId12" Type="http://schemas.openxmlformats.org/officeDocument/2006/relationships/hyperlink" Target="https://creativecommons.org/licenses/by-nc-sa/4.0/" TargetMode="External"/><Relationship Id="rId2" Type="http://schemas.openxmlformats.org/officeDocument/2006/relationships/image" Target="../media/image54.png"/><Relationship Id="rId1" Type="http://schemas.openxmlformats.org/officeDocument/2006/relationships/hyperlink" Target="http://creativecommons.org/licenses/by-nc-sa/4.0/deed.es_ES" TargetMode="External"/><Relationship Id="rId6" Type="http://schemas.openxmlformats.org/officeDocument/2006/relationships/hyperlink" Target="#FaseGrupos!A1"/><Relationship Id="rId11" Type="http://schemas.openxmlformats.org/officeDocument/2006/relationships/hyperlink" Target="http://gsamartin.es" TargetMode="External"/><Relationship Id="rId5" Type="http://schemas.openxmlformats.org/officeDocument/2006/relationships/hyperlink" Target="#Portada!A1"/><Relationship Id="rId15" Type="http://schemas.microsoft.com/office/2007/relationships/hdphoto" Target="../media/hdphoto1.wdp"/><Relationship Id="rId10" Type="http://schemas.openxmlformats.org/officeDocument/2006/relationships/hyperlink" Target="#Version!A1"/><Relationship Id="rId4" Type="http://schemas.openxmlformats.org/officeDocument/2006/relationships/image" Target="../media/image47.png"/><Relationship Id="rId9" Type="http://schemas.openxmlformats.org/officeDocument/2006/relationships/hyperlink" Target="#Sedes!A1"/><Relationship Id="rId14" Type="http://schemas.openxmlformats.org/officeDocument/2006/relationships/image" Target="../media/image48.png"/></Relationships>
</file>

<file path=xl/drawings/_rels/drawing11.xml.rels><?xml version="1.0" encoding="UTF-8" standalone="yes"?>
<Relationships xmlns="http://schemas.openxmlformats.org/package/2006/relationships"><Relationship Id="rId8" Type="http://schemas.openxmlformats.org/officeDocument/2006/relationships/hyperlink" Target="#Version!A1"/><Relationship Id="rId13" Type="http://schemas.microsoft.com/office/2007/relationships/hdphoto" Target="../media/hdphoto1.wdp"/><Relationship Id="rId3" Type="http://schemas.openxmlformats.org/officeDocument/2006/relationships/hyperlink" Target="#Portada!A1"/><Relationship Id="rId7" Type="http://schemas.openxmlformats.org/officeDocument/2006/relationships/hyperlink" Target="#Sedes!A1"/><Relationship Id="rId12"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hyperlink" Target="http://welcome2018.com/es/" TargetMode="External"/><Relationship Id="rId6" Type="http://schemas.openxmlformats.org/officeDocument/2006/relationships/hyperlink" Target="#Equipos!A1"/><Relationship Id="rId11" Type="http://schemas.openxmlformats.org/officeDocument/2006/relationships/hyperlink" Target="#Grupos!A1"/><Relationship Id="rId5" Type="http://schemas.openxmlformats.org/officeDocument/2006/relationships/hyperlink" Target="#FaseFinal!A1"/><Relationship Id="rId10" Type="http://schemas.openxmlformats.org/officeDocument/2006/relationships/hyperlink" Target="https://creativecommons.org/licenses/by-nc-sa/4.0/" TargetMode="External"/><Relationship Id="rId4" Type="http://schemas.openxmlformats.org/officeDocument/2006/relationships/hyperlink" Target="#FaseGrupos!A1"/><Relationship Id="rId9" Type="http://schemas.openxmlformats.org/officeDocument/2006/relationships/hyperlink" Target="http://gsamartin.es"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40.jpeg"/><Relationship Id="rId3" Type="http://schemas.openxmlformats.org/officeDocument/2006/relationships/image" Target="../media/image35.jpeg"/><Relationship Id="rId7" Type="http://schemas.openxmlformats.org/officeDocument/2006/relationships/image" Target="../media/image39.jpeg"/><Relationship Id="rId12" Type="http://schemas.openxmlformats.org/officeDocument/2006/relationships/image" Target="../media/image44.jpeg"/><Relationship Id="rId2" Type="http://schemas.openxmlformats.org/officeDocument/2006/relationships/image" Target="../media/image34.jpeg"/><Relationship Id="rId1" Type="http://schemas.openxmlformats.org/officeDocument/2006/relationships/image" Target="../media/image33.jpeg"/><Relationship Id="rId6" Type="http://schemas.openxmlformats.org/officeDocument/2006/relationships/image" Target="../media/image38.jpeg"/><Relationship Id="rId11" Type="http://schemas.openxmlformats.org/officeDocument/2006/relationships/image" Target="../media/image43.jpeg"/><Relationship Id="rId5" Type="http://schemas.openxmlformats.org/officeDocument/2006/relationships/image" Target="../media/image37.jpeg"/><Relationship Id="rId10" Type="http://schemas.openxmlformats.org/officeDocument/2006/relationships/image" Target="../media/image42.jpeg"/><Relationship Id="rId4" Type="http://schemas.openxmlformats.org/officeDocument/2006/relationships/image" Target="../media/image36.jpeg"/><Relationship Id="rId9" Type="http://schemas.openxmlformats.org/officeDocument/2006/relationships/image" Target="../media/image4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46.png"/><Relationship Id="rId3" Type="http://schemas.openxmlformats.org/officeDocument/2006/relationships/hyperlink" Target="#Equipos!A1"/><Relationship Id="rId7" Type="http://schemas.openxmlformats.org/officeDocument/2006/relationships/hyperlink" Target="http://gsamartin.es" TargetMode="External"/><Relationship Id="rId2" Type="http://schemas.openxmlformats.org/officeDocument/2006/relationships/hyperlink" Target="#FaseGrupos!A1"/><Relationship Id="rId1" Type="http://schemas.openxmlformats.org/officeDocument/2006/relationships/image" Target="../media/image45.jpeg"/><Relationship Id="rId6" Type="http://schemas.openxmlformats.org/officeDocument/2006/relationships/hyperlink" Target="#FaseFinal!A1"/><Relationship Id="rId5" Type="http://schemas.openxmlformats.org/officeDocument/2006/relationships/hyperlink" Target="#Grupos!A1"/><Relationship Id="rId4" Type="http://schemas.openxmlformats.org/officeDocument/2006/relationships/hyperlink" Target="#Sedes!A1"/></Relationships>
</file>

<file path=xl/drawings/_rels/drawing4.xml.rels><?xml version="1.0" encoding="UTF-8" standalone="yes"?>
<Relationships xmlns="http://schemas.openxmlformats.org/package/2006/relationships"><Relationship Id="rId8" Type="http://schemas.openxmlformats.org/officeDocument/2006/relationships/hyperlink" Target="#Version!A1"/><Relationship Id="rId13" Type="http://schemas.microsoft.com/office/2007/relationships/hdphoto" Target="../media/hdphoto1.wdp"/><Relationship Id="rId3" Type="http://schemas.openxmlformats.org/officeDocument/2006/relationships/hyperlink" Target="#Portada!A1"/><Relationship Id="rId7" Type="http://schemas.openxmlformats.org/officeDocument/2006/relationships/hyperlink" Target="#Sedes!A1"/><Relationship Id="rId12"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hyperlink" Target="http://welcome2018.com/es/" TargetMode="External"/><Relationship Id="rId6" Type="http://schemas.openxmlformats.org/officeDocument/2006/relationships/hyperlink" Target="#Equipos!A1"/><Relationship Id="rId11" Type="http://schemas.openxmlformats.org/officeDocument/2006/relationships/hyperlink" Target="#Grupos!A1"/><Relationship Id="rId5" Type="http://schemas.openxmlformats.org/officeDocument/2006/relationships/hyperlink" Target="#FaseFinal!A1"/><Relationship Id="rId10" Type="http://schemas.openxmlformats.org/officeDocument/2006/relationships/hyperlink" Target="https://creativecommons.org/licenses/by-nc-sa/4.0/" TargetMode="External"/><Relationship Id="rId4" Type="http://schemas.openxmlformats.org/officeDocument/2006/relationships/hyperlink" Target="#FaseGrupos!A1"/><Relationship Id="rId9" Type="http://schemas.openxmlformats.org/officeDocument/2006/relationships/hyperlink" Target="http://gsamartin.es" TargetMode="External"/></Relationships>
</file>

<file path=xl/drawings/_rels/drawing5.xml.rels><?xml version="1.0" encoding="UTF-8" standalone="yes"?>
<Relationships xmlns="http://schemas.openxmlformats.org/package/2006/relationships"><Relationship Id="rId8" Type="http://schemas.openxmlformats.org/officeDocument/2006/relationships/hyperlink" Target="#Version!A1"/><Relationship Id="rId13" Type="http://schemas.microsoft.com/office/2007/relationships/hdphoto" Target="../media/hdphoto1.wdp"/><Relationship Id="rId3" Type="http://schemas.openxmlformats.org/officeDocument/2006/relationships/hyperlink" Target="#Portada!A1"/><Relationship Id="rId7" Type="http://schemas.openxmlformats.org/officeDocument/2006/relationships/hyperlink" Target="#Sedes!A1"/><Relationship Id="rId12"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hyperlink" Target="http://welcome2018.com/es/" TargetMode="External"/><Relationship Id="rId6" Type="http://schemas.openxmlformats.org/officeDocument/2006/relationships/hyperlink" Target="#Equipos!A1"/><Relationship Id="rId11" Type="http://schemas.openxmlformats.org/officeDocument/2006/relationships/hyperlink" Target="#Grupos!A1"/><Relationship Id="rId5" Type="http://schemas.openxmlformats.org/officeDocument/2006/relationships/hyperlink" Target="#FaseFinal!A1"/><Relationship Id="rId10" Type="http://schemas.openxmlformats.org/officeDocument/2006/relationships/hyperlink" Target="https://creativecommons.org/licenses/by-nc-sa/4.0/" TargetMode="External"/><Relationship Id="rId4" Type="http://schemas.openxmlformats.org/officeDocument/2006/relationships/hyperlink" Target="#FaseGrupos!A1"/><Relationship Id="rId9" Type="http://schemas.openxmlformats.org/officeDocument/2006/relationships/hyperlink" Target="http://gsamartin.es" TargetMode="External"/></Relationships>
</file>

<file path=xl/drawings/_rels/drawing6.xml.rels><?xml version="1.0" encoding="UTF-8" standalone="yes"?>
<Relationships xmlns="http://schemas.openxmlformats.org/package/2006/relationships"><Relationship Id="rId8" Type="http://schemas.openxmlformats.org/officeDocument/2006/relationships/hyperlink" Target="#Sedes!A1"/><Relationship Id="rId13" Type="http://schemas.openxmlformats.org/officeDocument/2006/relationships/image" Target="../media/image48.png"/><Relationship Id="rId3" Type="http://schemas.openxmlformats.org/officeDocument/2006/relationships/image" Target="../media/image47.png"/><Relationship Id="rId7" Type="http://schemas.openxmlformats.org/officeDocument/2006/relationships/hyperlink" Target="#Equipos!A1"/><Relationship Id="rId12" Type="http://schemas.openxmlformats.org/officeDocument/2006/relationships/hyperlink" Target="#Grupos!A1"/><Relationship Id="rId2" Type="http://schemas.openxmlformats.org/officeDocument/2006/relationships/hyperlink" Target="http://welcome2018.com/es/" TargetMode="External"/><Relationship Id="rId1" Type="http://schemas.openxmlformats.org/officeDocument/2006/relationships/image" Target="../media/image49.jpeg"/><Relationship Id="rId6" Type="http://schemas.openxmlformats.org/officeDocument/2006/relationships/hyperlink" Target="#FaseFinal!A1"/><Relationship Id="rId11" Type="http://schemas.openxmlformats.org/officeDocument/2006/relationships/hyperlink" Target="https://creativecommons.org/licenses/by-nc-sa/4.0/" TargetMode="External"/><Relationship Id="rId5" Type="http://schemas.openxmlformats.org/officeDocument/2006/relationships/hyperlink" Target="#FaseGrupos!A1"/><Relationship Id="rId10" Type="http://schemas.openxmlformats.org/officeDocument/2006/relationships/hyperlink" Target="http://gsamartin.es" TargetMode="External"/><Relationship Id="rId4" Type="http://schemas.openxmlformats.org/officeDocument/2006/relationships/hyperlink" Target="#Portada!A1"/><Relationship Id="rId9" Type="http://schemas.openxmlformats.org/officeDocument/2006/relationships/hyperlink" Target="#Version!A1"/><Relationship Id="rId14" Type="http://schemas.microsoft.com/office/2007/relationships/hdphoto" Target="../media/hdphoto1.wdp"/></Relationships>
</file>

<file path=xl/drawings/_rels/drawing7.xml.rels><?xml version="1.0" encoding="UTF-8" standalone="yes"?>
<Relationships xmlns="http://schemas.openxmlformats.org/package/2006/relationships"><Relationship Id="rId8" Type="http://schemas.openxmlformats.org/officeDocument/2006/relationships/hyperlink" Target="#Sedes!A1"/><Relationship Id="rId13" Type="http://schemas.openxmlformats.org/officeDocument/2006/relationships/image" Target="../media/image48.png"/><Relationship Id="rId3" Type="http://schemas.openxmlformats.org/officeDocument/2006/relationships/image" Target="../media/image47.png"/><Relationship Id="rId7" Type="http://schemas.openxmlformats.org/officeDocument/2006/relationships/hyperlink" Target="#Equipos!A1"/><Relationship Id="rId12" Type="http://schemas.openxmlformats.org/officeDocument/2006/relationships/hyperlink" Target="#Grupos!A1"/><Relationship Id="rId2" Type="http://schemas.openxmlformats.org/officeDocument/2006/relationships/hyperlink" Target="http://welcome2018.com/es/" TargetMode="External"/><Relationship Id="rId1" Type="http://schemas.openxmlformats.org/officeDocument/2006/relationships/image" Target="../media/image50.emf"/><Relationship Id="rId6" Type="http://schemas.openxmlformats.org/officeDocument/2006/relationships/hyperlink" Target="#FaseFinal!A1"/><Relationship Id="rId11" Type="http://schemas.openxmlformats.org/officeDocument/2006/relationships/hyperlink" Target="https://creativecommons.org/licenses/by-nc-sa/4.0/" TargetMode="External"/><Relationship Id="rId5" Type="http://schemas.openxmlformats.org/officeDocument/2006/relationships/hyperlink" Target="#FaseGrupos!A1"/><Relationship Id="rId10" Type="http://schemas.openxmlformats.org/officeDocument/2006/relationships/hyperlink" Target="http://gsamartin.es" TargetMode="External"/><Relationship Id="rId4" Type="http://schemas.openxmlformats.org/officeDocument/2006/relationships/hyperlink" Target="#Portada!A1"/><Relationship Id="rId9" Type="http://schemas.openxmlformats.org/officeDocument/2006/relationships/hyperlink" Target="#Version!A1"/><Relationship Id="rId14" Type="http://schemas.microsoft.com/office/2007/relationships/hdphoto" Target="../media/hdphoto1.wdp"/></Relationships>
</file>

<file path=xl/drawings/_rels/drawing8.xml.rels><?xml version="1.0" encoding="UTF-8" standalone="yes"?>
<Relationships xmlns="http://schemas.openxmlformats.org/package/2006/relationships"><Relationship Id="rId8" Type="http://schemas.openxmlformats.org/officeDocument/2006/relationships/hyperlink" Target="#Sedes!A1"/><Relationship Id="rId13" Type="http://schemas.openxmlformats.org/officeDocument/2006/relationships/image" Target="../media/image48.png"/><Relationship Id="rId3" Type="http://schemas.openxmlformats.org/officeDocument/2006/relationships/image" Target="../media/image47.png"/><Relationship Id="rId7" Type="http://schemas.openxmlformats.org/officeDocument/2006/relationships/hyperlink" Target="#Equipos!A1"/><Relationship Id="rId12" Type="http://schemas.openxmlformats.org/officeDocument/2006/relationships/hyperlink" Target="#Grupos!A1"/><Relationship Id="rId2" Type="http://schemas.openxmlformats.org/officeDocument/2006/relationships/hyperlink" Target="http://welcome2018.com/es/" TargetMode="External"/><Relationship Id="rId1" Type="http://schemas.openxmlformats.org/officeDocument/2006/relationships/image" Target="../media/image52.emf"/><Relationship Id="rId6" Type="http://schemas.openxmlformats.org/officeDocument/2006/relationships/hyperlink" Target="#FaseFinal!A1"/><Relationship Id="rId11" Type="http://schemas.openxmlformats.org/officeDocument/2006/relationships/hyperlink" Target="https://creativecommons.org/licenses/by-nc-sa/4.0/" TargetMode="External"/><Relationship Id="rId5" Type="http://schemas.openxmlformats.org/officeDocument/2006/relationships/hyperlink" Target="#FaseGrupos!A1"/><Relationship Id="rId10" Type="http://schemas.openxmlformats.org/officeDocument/2006/relationships/hyperlink" Target="http://gsamartin.es" TargetMode="External"/><Relationship Id="rId4" Type="http://schemas.openxmlformats.org/officeDocument/2006/relationships/hyperlink" Target="#Portada!A1"/><Relationship Id="rId9" Type="http://schemas.openxmlformats.org/officeDocument/2006/relationships/hyperlink" Target="#Version!A1"/><Relationship Id="rId14" Type="http://schemas.microsoft.com/office/2007/relationships/hdphoto" Target="../media/hdphoto1.wdp"/></Relationships>
</file>

<file path=xl/drawings/_rels/drawing9.xml.rels><?xml version="1.0" encoding="UTF-8" standalone="yes"?>
<Relationships xmlns="http://schemas.openxmlformats.org/package/2006/relationships"><Relationship Id="rId8" Type="http://schemas.openxmlformats.org/officeDocument/2006/relationships/hyperlink" Target="#Version!A1"/><Relationship Id="rId13" Type="http://schemas.microsoft.com/office/2007/relationships/hdphoto" Target="../media/hdphoto1.wdp"/><Relationship Id="rId3" Type="http://schemas.openxmlformats.org/officeDocument/2006/relationships/hyperlink" Target="#Portada!A1"/><Relationship Id="rId7" Type="http://schemas.openxmlformats.org/officeDocument/2006/relationships/hyperlink" Target="#Sedes!A1"/><Relationship Id="rId12"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hyperlink" Target="http://welcome2018.com/es/" TargetMode="External"/><Relationship Id="rId6" Type="http://schemas.openxmlformats.org/officeDocument/2006/relationships/hyperlink" Target="#Equipos!A1"/><Relationship Id="rId11" Type="http://schemas.openxmlformats.org/officeDocument/2006/relationships/hyperlink" Target="#Grupos!A1"/><Relationship Id="rId5" Type="http://schemas.openxmlformats.org/officeDocument/2006/relationships/hyperlink" Target="#FaseFinal!A1"/><Relationship Id="rId10" Type="http://schemas.openxmlformats.org/officeDocument/2006/relationships/hyperlink" Target="https://creativecommons.org/licenses/by-nc-sa/4.0/" TargetMode="External"/><Relationship Id="rId4" Type="http://schemas.openxmlformats.org/officeDocument/2006/relationships/hyperlink" Target="#FaseGrupos!A1"/><Relationship Id="rId9" Type="http://schemas.openxmlformats.org/officeDocument/2006/relationships/hyperlink" Target="http://gsamartin.es" TargetMode="External"/></Relationships>
</file>

<file path=xl/drawings/_rels/vmlDrawing5.vml.rels><?xml version="1.0" encoding="UTF-8" standalone="yes"?>
<Relationships xmlns="http://schemas.openxmlformats.org/package/2006/relationships"><Relationship Id="rId1" Type="http://schemas.openxmlformats.org/officeDocument/2006/relationships/image" Target="../media/image5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53.emf"/></Relationships>
</file>

<file path=xl/drawings/drawing1.xml><?xml version="1.0" encoding="utf-8"?>
<xdr:wsDr xmlns:xdr="http://schemas.openxmlformats.org/drawingml/2006/spreadsheetDrawing" xmlns:a="http://schemas.openxmlformats.org/drawingml/2006/main">
  <xdr:twoCellAnchor editAs="oneCell">
    <xdr:from>
      <xdr:col>6</xdr:col>
      <xdr:colOff>942974</xdr:colOff>
      <xdr:row>9</xdr:row>
      <xdr:rowOff>1523998</xdr:rowOff>
    </xdr:from>
    <xdr:to>
      <xdr:col>8</xdr:col>
      <xdr:colOff>5752</xdr:colOff>
      <xdr:row>10</xdr:row>
      <xdr:rowOff>1523999</xdr:rowOff>
    </xdr:to>
    <xdr:pic>
      <xdr:nvPicPr>
        <xdr:cNvPr id="5" name="Imagen 4" descr="Bandera de Australi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00824" y="15239998"/>
          <a:ext cx="2291753" cy="1524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942974</xdr:colOff>
      <xdr:row>11</xdr:row>
      <xdr:rowOff>0</xdr:rowOff>
    </xdr:from>
    <xdr:to>
      <xdr:col>8</xdr:col>
      <xdr:colOff>5753</xdr:colOff>
      <xdr:row>11</xdr:row>
      <xdr:rowOff>1513856</xdr:rowOff>
    </xdr:to>
    <xdr:pic>
      <xdr:nvPicPr>
        <xdr:cNvPr id="7" name="Imagen 6" descr="Bandera del PerÃº"/>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00824" y="16764000"/>
          <a:ext cx="2291754" cy="1513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942974</xdr:colOff>
      <xdr:row>12</xdr:row>
      <xdr:rowOff>0</xdr:rowOff>
    </xdr:from>
    <xdr:to>
      <xdr:col>8</xdr:col>
      <xdr:colOff>5753</xdr:colOff>
      <xdr:row>13</xdr:row>
      <xdr:rowOff>0</xdr:rowOff>
    </xdr:to>
    <xdr:pic>
      <xdr:nvPicPr>
        <xdr:cNvPr id="8" name="Imagen 7" descr="Bandera de Dinamarc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00824" y="18288000"/>
          <a:ext cx="2291754"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13</xdr:row>
      <xdr:rowOff>0</xdr:rowOff>
    </xdr:from>
    <xdr:to>
      <xdr:col>8</xdr:col>
      <xdr:colOff>0</xdr:colOff>
      <xdr:row>14</xdr:row>
      <xdr:rowOff>0</xdr:rowOff>
    </xdr:to>
    <xdr:pic>
      <xdr:nvPicPr>
        <xdr:cNvPr id="9" name="Imagen 8" descr="Bandera de Argentina"/>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00825" y="19812000"/>
          <a:ext cx="228600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942974</xdr:colOff>
      <xdr:row>14</xdr:row>
      <xdr:rowOff>0</xdr:rowOff>
    </xdr:from>
    <xdr:to>
      <xdr:col>7</xdr:col>
      <xdr:colOff>2282164</xdr:colOff>
      <xdr:row>15</xdr:row>
      <xdr:rowOff>0</xdr:rowOff>
    </xdr:to>
    <xdr:pic>
      <xdr:nvPicPr>
        <xdr:cNvPr id="10" name="Imagen 9" descr="Bandera de Islandia"/>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00824" y="21336000"/>
          <a:ext cx="228216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xdr:colOff>
      <xdr:row>15</xdr:row>
      <xdr:rowOff>9524</xdr:rowOff>
    </xdr:from>
    <xdr:to>
      <xdr:col>8</xdr:col>
      <xdr:colOff>5689</xdr:colOff>
      <xdr:row>16</xdr:row>
      <xdr:rowOff>0</xdr:rowOff>
    </xdr:to>
    <xdr:pic>
      <xdr:nvPicPr>
        <xdr:cNvPr id="11" name="Imagen 10" descr="Bandera de Croaci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0350" y="22869524"/>
          <a:ext cx="2282164" cy="1514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16</xdr:row>
      <xdr:rowOff>0</xdr:rowOff>
    </xdr:from>
    <xdr:to>
      <xdr:col>8</xdr:col>
      <xdr:colOff>5561</xdr:colOff>
      <xdr:row>17</xdr:row>
      <xdr:rowOff>0</xdr:rowOff>
    </xdr:to>
    <xdr:pic>
      <xdr:nvPicPr>
        <xdr:cNvPr id="12" name="Imagen 11" descr="Bandera de Nigeria"/>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600825" y="24384000"/>
          <a:ext cx="2291561"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17</xdr:row>
      <xdr:rowOff>0</xdr:rowOff>
    </xdr:from>
    <xdr:to>
      <xdr:col>8</xdr:col>
      <xdr:colOff>1</xdr:colOff>
      <xdr:row>17</xdr:row>
      <xdr:rowOff>1521400</xdr:rowOff>
    </xdr:to>
    <xdr:pic>
      <xdr:nvPicPr>
        <xdr:cNvPr id="13" name="Imagen 12" descr="Bandera de Costa Rica"/>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600826" y="25908000"/>
          <a:ext cx="2286000" cy="152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19</xdr:row>
      <xdr:rowOff>0</xdr:rowOff>
    </xdr:from>
    <xdr:to>
      <xdr:col>8</xdr:col>
      <xdr:colOff>1</xdr:colOff>
      <xdr:row>20</xdr:row>
      <xdr:rowOff>0</xdr:rowOff>
    </xdr:to>
    <xdr:pic>
      <xdr:nvPicPr>
        <xdr:cNvPr id="15" name="Imagen 14" descr="Bandera de Brasil"/>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00826" y="28956000"/>
          <a:ext cx="228600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17</xdr:row>
      <xdr:rowOff>1523999</xdr:rowOff>
    </xdr:from>
    <xdr:to>
      <xdr:col>8</xdr:col>
      <xdr:colOff>1</xdr:colOff>
      <xdr:row>19</xdr:row>
      <xdr:rowOff>0</xdr:rowOff>
    </xdr:to>
    <xdr:pic>
      <xdr:nvPicPr>
        <xdr:cNvPr id="16" name="Imagen 15" descr="Bandera de Serbia"/>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600826" y="27431999"/>
          <a:ext cx="2286000" cy="1524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381000</xdr:colOff>
      <xdr:row>20</xdr:row>
      <xdr:rowOff>0</xdr:rowOff>
    </xdr:from>
    <xdr:to>
      <xdr:col>7</xdr:col>
      <xdr:colOff>1898596</xdr:colOff>
      <xdr:row>20</xdr:row>
      <xdr:rowOff>1521400</xdr:rowOff>
    </xdr:to>
    <xdr:pic>
      <xdr:nvPicPr>
        <xdr:cNvPr id="19" name="Imagen 18" descr="Bandera de Suiza"/>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981825" y="30480000"/>
          <a:ext cx="1517596" cy="152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17299</xdr:colOff>
      <xdr:row>21</xdr:row>
      <xdr:rowOff>1</xdr:rowOff>
    </xdr:from>
    <xdr:to>
      <xdr:col>8</xdr:col>
      <xdr:colOff>19064</xdr:colOff>
      <xdr:row>22</xdr:row>
      <xdr:rowOff>16659</xdr:rowOff>
    </xdr:to>
    <xdr:pic>
      <xdr:nvPicPr>
        <xdr:cNvPr id="14" name="Imagen 13" descr="https://upload.wikimedia.org/wikipedia/commons/thumb/b/ba/Flag_of_Germany.svg/320px-Flag_of_Germany.svg.png?uselang=f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618124" y="32004001"/>
          <a:ext cx="2287765" cy="1540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22</xdr:row>
      <xdr:rowOff>0</xdr:rowOff>
    </xdr:from>
    <xdr:to>
      <xdr:col>7</xdr:col>
      <xdr:colOff>2285999</xdr:colOff>
      <xdr:row>23</xdr:row>
      <xdr:rowOff>0</xdr:rowOff>
    </xdr:to>
    <xdr:pic>
      <xdr:nvPicPr>
        <xdr:cNvPr id="17" name="Imagen 16" descr="Bandera de MÃ©xico"/>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00825" y="33528000"/>
          <a:ext cx="2285999"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22</xdr:row>
      <xdr:rowOff>1523999</xdr:rowOff>
    </xdr:from>
    <xdr:to>
      <xdr:col>8</xdr:col>
      <xdr:colOff>0</xdr:colOff>
      <xdr:row>24</xdr:row>
      <xdr:rowOff>0</xdr:rowOff>
    </xdr:to>
    <xdr:pic>
      <xdr:nvPicPr>
        <xdr:cNvPr id="18" name="Imagen 17" descr="Bandera de Suecia"/>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600825" y="35051999"/>
          <a:ext cx="2286000" cy="1524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24</xdr:row>
      <xdr:rowOff>0</xdr:rowOff>
    </xdr:from>
    <xdr:to>
      <xdr:col>8</xdr:col>
      <xdr:colOff>0</xdr:colOff>
      <xdr:row>25</xdr:row>
      <xdr:rowOff>0</xdr:rowOff>
    </xdr:to>
    <xdr:pic>
      <xdr:nvPicPr>
        <xdr:cNvPr id="20" name="Imagen 19" descr="Bandera de Corea del Su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600825" y="36576000"/>
          <a:ext cx="228600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942974</xdr:colOff>
      <xdr:row>25</xdr:row>
      <xdr:rowOff>0</xdr:rowOff>
    </xdr:from>
    <xdr:to>
      <xdr:col>8</xdr:col>
      <xdr:colOff>0</xdr:colOff>
      <xdr:row>26</xdr:row>
      <xdr:rowOff>0</xdr:rowOff>
    </xdr:to>
    <xdr:pic>
      <xdr:nvPicPr>
        <xdr:cNvPr id="21" name="Imagen 20" descr="Bandera de BÃ©lgica"/>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600824" y="38100000"/>
          <a:ext cx="2286001"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26</xdr:row>
      <xdr:rowOff>0</xdr:rowOff>
    </xdr:from>
    <xdr:to>
      <xdr:col>8</xdr:col>
      <xdr:colOff>0</xdr:colOff>
      <xdr:row>27</xdr:row>
      <xdr:rowOff>0</xdr:rowOff>
    </xdr:to>
    <xdr:pic>
      <xdr:nvPicPr>
        <xdr:cNvPr id="23" name="Imagen 22" descr="Bandera de PanamÃ¡"/>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600825" y="39624000"/>
          <a:ext cx="228600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942974</xdr:colOff>
      <xdr:row>27</xdr:row>
      <xdr:rowOff>0</xdr:rowOff>
    </xdr:from>
    <xdr:to>
      <xdr:col>8</xdr:col>
      <xdr:colOff>5728</xdr:colOff>
      <xdr:row>28</xdr:row>
      <xdr:rowOff>0</xdr:rowOff>
    </xdr:to>
    <xdr:pic>
      <xdr:nvPicPr>
        <xdr:cNvPr id="24" name="Imagen 23" descr="Bandera de TÃºnez"/>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600824" y="41148000"/>
          <a:ext cx="2291729"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28</xdr:row>
      <xdr:rowOff>0</xdr:rowOff>
    </xdr:from>
    <xdr:to>
      <xdr:col>8</xdr:col>
      <xdr:colOff>0</xdr:colOff>
      <xdr:row>29</xdr:row>
      <xdr:rowOff>0</xdr:rowOff>
    </xdr:to>
    <xdr:pic>
      <xdr:nvPicPr>
        <xdr:cNvPr id="25" name="Imagen 24" descr="Bandera de Inglaterra"/>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600825" y="42672000"/>
          <a:ext cx="228600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942974</xdr:colOff>
      <xdr:row>29</xdr:row>
      <xdr:rowOff>0</xdr:rowOff>
    </xdr:from>
    <xdr:to>
      <xdr:col>8</xdr:col>
      <xdr:colOff>5728</xdr:colOff>
      <xdr:row>30</xdr:row>
      <xdr:rowOff>0</xdr:rowOff>
    </xdr:to>
    <xdr:pic>
      <xdr:nvPicPr>
        <xdr:cNvPr id="26" name="Imagen 25" descr="Bandera de Colombia"/>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600824" y="44196000"/>
          <a:ext cx="2291729"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942974</xdr:colOff>
      <xdr:row>30</xdr:row>
      <xdr:rowOff>0</xdr:rowOff>
    </xdr:from>
    <xdr:to>
      <xdr:col>8</xdr:col>
      <xdr:colOff>5728</xdr:colOff>
      <xdr:row>31</xdr:row>
      <xdr:rowOff>0</xdr:rowOff>
    </xdr:to>
    <xdr:pic>
      <xdr:nvPicPr>
        <xdr:cNvPr id="27" name="Imagen 26" descr="Bandera de JapÃ³n"/>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600824" y="45720000"/>
          <a:ext cx="2291729"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8</xdr:col>
      <xdr:colOff>0</xdr:colOff>
      <xdr:row>32</xdr:row>
      <xdr:rowOff>0</xdr:rowOff>
    </xdr:to>
    <xdr:pic>
      <xdr:nvPicPr>
        <xdr:cNvPr id="28" name="Imagen 27" descr="Bandera de Polonia"/>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600825" y="47244000"/>
          <a:ext cx="228600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942974</xdr:colOff>
      <xdr:row>32</xdr:row>
      <xdr:rowOff>0</xdr:rowOff>
    </xdr:from>
    <xdr:to>
      <xdr:col>8</xdr:col>
      <xdr:colOff>5728</xdr:colOff>
      <xdr:row>33</xdr:row>
      <xdr:rowOff>0</xdr:rowOff>
    </xdr:to>
    <xdr:pic>
      <xdr:nvPicPr>
        <xdr:cNvPr id="29" name="Imagen 28" descr="Bandera de Senegal"/>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600824" y="48768000"/>
          <a:ext cx="2291729"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942974</xdr:colOff>
      <xdr:row>1</xdr:row>
      <xdr:rowOff>0</xdr:rowOff>
    </xdr:from>
    <xdr:to>
      <xdr:col>8</xdr:col>
      <xdr:colOff>5728</xdr:colOff>
      <xdr:row>2</xdr:row>
      <xdr:rowOff>0</xdr:rowOff>
    </xdr:to>
    <xdr:pic>
      <xdr:nvPicPr>
        <xdr:cNvPr id="30" name="Imagen 29" descr="Bandera de Rusia"/>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600824" y="1524000"/>
          <a:ext cx="2291729"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942974</xdr:colOff>
      <xdr:row>2</xdr:row>
      <xdr:rowOff>0</xdr:rowOff>
    </xdr:from>
    <xdr:to>
      <xdr:col>8</xdr:col>
      <xdr:colOff>5728</xdr:colOff>
      <xdr:row>3</xdr:row>
      <xdr:rowOff>0</xdr:rowOff>
    </xdr:to>
    <xdr:pic>
      <xdr:nvPicPr>
        <xdr:cNvPr id="31" name="Imagen 30" descr="Bandera de Arabia Saudita"/>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600824" y="3048000"/>
          <a:ext cx="2291729"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942974</xdr:colOff>
      <xdr:row>3</xdr:row>
      <xdr:rowOff>0</xdr:rowOff>
    </xdr:from>
    <xdr:to>
      <xdr:col>8</xdr:col>
      <xdr:colOff>5728</xdr:colOff>
      <xdr:row>4</xdr:row>
      <xdr:rowOff>0</xdr:rowOff>
    </xdr:to>
    <xdr:pic>
      <xdr:nvPicPr>
        <xdr:cNvPr id="32" name="Imagen 31" descr="Bandera de Egipto"/>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600824" y="4572000"/>
          <a:ext cx="2291729"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942974</xdr:colOff>
      <xdr:row>4</xdr:row>
      <xdr:rowOff>0</xdr:rowOff>
    </xdr:from>
    <xdr:to>
      <xdr:col>8</xdr:col>
      <xdr:colOff>5728</xdr:colOff>
      <xdr:row>5</xdr:row>
      <xdr:rowOff>0</xdr:rowOff>
    </xdr:to>
    <xdr:pic>
      <xdr:nvPicPr>
        <xdr:cNvPr id="33" name="Imagen 32" descr="Bandera de Uruguay"/>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600824" y="6096000"/>
          <a:ext cx="2291729"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942974</xdr:colOff>
      <xdr:row>5</xdr:row>
      <xdr:rowOff>0</xdr:rowOff>
    </xdr:from>
    <xdr:to>
      <xdr:col>8</xdr:col>
      <xdr:colOff>5728</xdr:colOff>
      <xdr:row>6</xdr:row>
      <xdr:rowOff>0</xdr:rowOff>
    </xdr:to>
    <xdr:pic>
      <xdr:nvPicPr>
        <xdr:cNvPr id="34" name="Imagen 33" descr="Bandera de Marruecos"/>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600824" y="7620000"/>
          <a:ext cx="2291729"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6</xdr:row>
      <xdr:rowOff>0</xdr:rowOff>
    </xdr:from>
    <xdr:to>
      <xdr:col>8</xdr:col>
      <xdr:colOff>0</xdr:colOff>
      <xdr:row>7</xdr:row>
      <xdr:rowOff>0</xdr:rowOff>
    </xdr:to>
    <xdr:pic>
      <xdr:nvPicPr>
        <xdr:cNvPr id="35" name="Imagen 34" descr="Bandera de IrÃ¡n"/>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600825" y="9144000"/>
          <a:ext cx="228600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942974</xdr:colOff>
      <xdr:row>7</xdr:row>
      <xdr:rowOff>0</xdr:rowOff>
    </xdr:from>
    <xdr:to>
      <xdr:col>8</xdr:col>
      <xdr:colOff>5728</xdr:colOff>
      <xdr:row>8</xdr:row>
      <xdr:rowOff>0</xdr:rowOff>
    </xdr:to>
    <xdr:pic>
      <xdr:nvPicPr>
        <xdr:cNvPr id="36" name="Imagen 35" descr="Bandera de Portugal"/>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600824" y="10668000"/>
          <a:ext cx="2291729"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942974</xdr:colOff>
      <xdr:row>8</xdr:row>
      <xdr:rowOff>0</xdr:rowOff>
    </xdr:from>
    <xdr:to>
      <xdr:col>8</xdr:col>
      <xdr:colOff>5728</xdr:colOff>
      <xdr:row>9</xdr:row>
      <xdr:rowOff>0</xdr:rowOff>
    </xdr:to>
    <xdr:pic>
      <xdr:nvPicPr>
        <xdr:cNvPr id="37" name="Imagen 36" descr="Bandera de EspaÃ±a"/>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6600824" y="12192000"/>
          <a:ext cx="2291729"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942974</xdr:colOff>
      <xdr:row>9</xdr:row>
      <xdr:rowOff>0</xdr:rowOff>
    </xdr:from>
    <xdr:to>
      <xdr:col>8</xdr:col>
      <xdr:colOff>5728</xdr:colOff>
      <xdr:row>10</xdr:row>
      <xdr:rowOff>0</xdr:rowOff>
    </xdr:to>
    <xdr:pic>
      <xdr:nvPicPr>
        <xdr:cNvPr id="38" name="Imagen 37" descr="Bandera de Francia"/>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600824" y="13716000"/>
          <a:ext cx="2291729"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76200</xdr:colOff>
      <xdr:row>13</xdr:row>
      <xdr:rowOff>85725</xdr:rowOff>
    </xdr:from>
    <xdr:to>
      <xdr:col>1</xdr:col>
      <xdr:colOff>796586</xdr:colOff>
      <xdr:row>14</xdr:row>
      <xdr:rowOff>137746</xdr:rowOff>
    </xdr:to>
    <xdr:pic>
      <xdr:nvPicPr>
        <xdr:cNvPr id="15" name="1 Imagen" descr="http://mestreacasa.gva.es/c/document_library/get_file?folderId=500003649240&amp;name=DLFE-228956.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6619875"/>
          <a:ext cx="720386" cy="252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13</xdr:col>
      <xdr:colOff>57150</xdr:colOff>
      <xdr:row>1</xdr:row>
      <xdr:rowOff>9525</xdr:rowOff>
    </xdr:to>
    <xdr:grpSp>
      <xdr:nvGrpSpPr>
        <xdr:cNvPr id="16" name="Grupo 15"/>
        <xdr:cNvGrpSpPr/>
      </xdr:nvGrpSpPr>
      <xdr:grpSpPr>
        <a:xfrm>
          <a:off x="219075" y="0"/>
          <a:ext cx="8763000" cy="1400175"/>
          <a:chOff x="219076" y="0"/>
          <a:chExt cx="8772524" cy="1400175"/>
        </a:xfrm>
      </xdr:grpSpPr>
      <xdr:pic>
        <xdr:nvPicPr>
          <xdr:cNvPr id="17" name="Imagen 16">
            <a:hlinkClick xmlns:r="http://schemas.openxmlformats.org/officeDocument/2006/relationships" r:id="rId3"/>
          </xdr:cNvPr>
          <xdr:cNvPicPr>
            <a:picLocks noChangeAspect="1"/>
          </xdr:cNvPicPr>
        </xdr:nvPicPr>
        <xdr:blipFill rotWithShape="1">
          <a:blip xmlns:r="http://schemas.openxmlformats.org/officeDocument/2006/relationships" r:embed="rId4">
            <a:clrChange>
              <a:clrFrom>
                <a:srgbClr val="FFFFFF"/>
              </a:clrFrom>
              <a:clrTo>
                <a:srgbClr val="FFFFFF">
                  <a:alpha val="0"/>
                </a:srgbClr>
              </a:clrTo>
            </a:clrChange>
          </a:blip>
          <a:srcRect l="24991" t="10054" r="27732" b="25264"/>
          <a:stretch/>
        </xdr:blipFill>
        <xdr:spPr>
          <a:xfrm>
            <a:off x="219076" y="19050"/>
            <a:ext cx="1182061" cy="1352550"/>
          </a:xfrm>
          <a:prstGeom prst="rect">
            <a:avLst/>
          </a:prstGeom>
          <a:ln>
            <a:noFill/>
          </a:ln>
        </xdr:spPr>
      </xdr:pic>
      <xdr:grpSp>
        <xdr:nvGrpSpPr>
          <xdr:cNvPr id="18" name="Grupo 17"/>
          <xdr:cNvGrpSpPr/>
        </xdr:nvGrpSpPr>
        <xdr:grpSpPr>
          <a:xfrm>
            <a:off x="1466849" y="28575"/>
            <a:ext cx="6134102" cy="1304925"/>
            <a:chOff x="1428749" y="28575"/>
            <a:chExt cx="6134102" cy="1304925"/>
          </a:xfrm>
        </xdr:grpSpPr>
        <xdr:sp macro="" textlink="Traduccion!B4">
          <xdr:nvSpPr>
            <xdr:cNvPr id="20" name="CuadroTexto 19">
              <a:hlinkClick xmlns:r="http://schemas.openxmlformats.org/officeDocument/2006/relationships" r:id="rId5"/>
            </xdr:cNvPr>
            <xdr:cNvSpPr txBox="1"/>
          </xdr:nvSpPr>
          <xdr:spPr>
            <a:xfrm>
              <a:off x="1428749" y="28575"/>
              <a:ext cx="6134101" cy="447675"/>
            </a:xfrm>
            <a:prstGeom prst="rect">
              <a:avLst/>
            </a:prstGeom>
            <a:solidFill>
              <a:srgbClr val="0070C0"/>
            </a:solidFill>
            <a:ln w="9525" cmpd="sng">
              <a:solidFill>
                <a:schemeClr val="lt1">
                  <a:shade val="50000"/>
                </a:schemeClr>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00586B9-E36E-455B-845E-34BE7244E237}" type="TxLink">
                <a:rPr lang="en-US" sz="1800" b="0" i="0" u="none" strike="noStrike">
                  <a:solidFill>
                    <a:schemeClr val="bg1"/>
                  </a:solidFill>
                  <a:latin typeface="Calibri"/>
                  <a:cs typeface="Calibri"/>
                </a:rPr>
                <a:pPr algn="ctr"/>
                <a:t>Copa del Mundo - Rusia 2018</a:t>
              </a:fld>
              <a:endParaRPr lang="es-ES" sz="1800">
                <a:solidFill>
                  <a:schemeClr val="bg1"/>
                </a:solidFill>
              </a:endParaRPr>
            </a:p>
          </xdr:txBody>
        </xdr:sp>
        <xdr:sp macro="" textlink="Traduccion!B18">
          <xdr:nvSpPr>
            <xdr:cNvPr id="21" name="CuadroTexto 20">
              <a:hlinkClick xmlns:r="http://schemas.openxmlformats.org/officeDocument/2006/relationships" r:id="rId6"/>
            </xdr:cNvPr>
            <xdr:cNvSpPr txBox="1"/>
          </xdr:nvSpPr>
          <xdr:spPr>
            <a:xfrm>
              <a:off x="1428751"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540ABAFA-C5A7-4981-810D-74A687BCD5FA}" type="TxLink">
                <a:rPr lang="en-US" sz="1200" b="0" i="0" u="none" strike="noStrike">
                  <a:solidFill>
                    <a:schemeClr val="bg1"/>
                  </a:solidFill>
                  <a:latin typeface="Calibri"/>
                  <a:ea typeface="+mn-ea"/>
                  <a:cs typeface="Calibri"/>
                </a:rPr>
                <a:pPr marL="0" indent="0" algn="ctr"/>
                <a:t>Fase de Grupos</a:t>
              </a:fld>
              <a:endParaRPr lang="es-ES" sz="1200" b="0" i="0" u="none" strike="noStrike">
                <a:solidFill>
                  <a:schemeClr val="bg1"/>
                </a:solidFill>
                <a:latin typeface="Calibri"/>
                <a:ea typeface="+mn-ea"/>
                <a:cs typeface="Calibri"/>
              </a:endParaRPr>
            </a:p>
          </xdr:txBody>
        </xdr:sp>
        <xdr:sp macro="" textlink="Traduccion!B19">
          <xdr:nvSpPr>
            <xdr:cNvPr id="22" name="CuadroTexto 21">
              <a:hlinkClick xmlns:r="http://schemas.openxmlformats.org/officeDocument/2006/relationships" r:id="rId7"/>
            </xdr:cNvPr>
            <xdr:cNvSpPr txBox="1"/>
          </xdr:nvSpPr>
          <xdr:spPr>
            <a:xfrm>
              <a:off x="2667001"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4B5DB28-3600-4930-9101-C892C76D753F}" type="TxLink">
                <a:rPr lang="en-US" sz="1200" b="0" i="0" u="none" strike="noStrike">
                  <a:solidFill>
                    <a:schemeClr val="bg1"/>
                  </a:solidFill>
                  <a:latin typeface="Calibri"/>
                  <a:ea typeface="+mn-ea"/>
                  <a:cs typeface="Calibri"/>
                </a:rPr>
                <a:pPr marL="0" indent="0" algn="ctr"/>
                <a:t>Fase Final</a:t>
              </a:fld>
              <a:endParaRPr lang="es-ES" sz="1200" b="0" i="0" u="none" strike="noStrike">
                <a:solidFill>
                  <a:schemeClr val="bg1"/>
                </a:solidFill>
                <a:latin typeface="Calibri"/>
                <a:ea typeface="+mn-ea"/>
                <a:cs typeface="Calibri"/>
              </a:endParaRPr>
            </a:p>
          </xdr:txBody>
        </xdr:sp>
        <xdr:sp macro="" textlink="Traduccion!B20">
          <xdr:nvSpPr>
            <xdr:cNvPr id="23" name="CuadroTexto 22">
              <a:hlinkClick xmlns:r="http://schemas.openxmlformats.org/officeDocument/2006/relationships" r:id="rId8"/>
            </xdr:cNvPr>
            <xdr:cNvSpPr txBox="1"/>
          </xdr:nvSpPr>
          <xdr:spPr>
            <a:xfrm>
              <a:off x="3895726"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4794497C-11F8-43A7-9EF5-691A402D5F49}" type="TxLink">
                <a:rPr lang="en-US" sz="900" b="0" i="0" u="none" strike="noStrike">
                  <a:solidFill>
                    <a:schemeClr val="bg1"/>
                  </a:solidFill>
                  <a:latin typeface="Calibri"/>
                  <a:ea typeface="+mn-ea"/>
                  <a:cs typeface="Calibri"/>
                </a:rPr>
                <a:pPr marL="0" indent="0" algn="ctr"/>
                <a:t>Selección a Selección</a:t>
              </a:fld>
              <a:endParaRPr lang="es-ES" sz="900" b="0" i="0" u="none" strike="noStrike">
                <a:solidFill>
                  <a:schemeClr val="bg1"/>
                </a:solidFill>
                <a:latin typeface="Calibri"/>
                <a:ea typeface="+mn-ea"/>
                <a:cs typeface="Calibri"/>
              </a:endParaRPr>
            </a:p>
          </xdr:txBody>
        </xdr:sp>
        <xdr:sp macro="" textlink="Traduccion!B21">
          <xdr:nvSpPr>
            <xdr:cNvPr id="24" name="CuadroTexto 23">
              <a:hlinkClick xmlns:r="http://schemas.openxmlformats.org/officeDocument/2006/relationships" r:id="rId9"/>
            </xdr:cNvPr>
            <xdr:cNvSpPr txBox="1"/>
          </xdr:nvSpPr>
          <xdr:spPr>
            <a:xfrm>
              <a:off x="5133976"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A82BD95-35CD-41F2-8196-3EA9C170A195}" type="TxLink">
                <a:rPr lang="en-US" sz="1200" b="0" i="0" u="none" strike="noStrike">
                  <a:solidFill>
                    <a:schemeClr val="bg1"/>
                  </a:solidFill>
                  <a:latin typeface="Calibri"/>
                  <a:ea typeface="+mn-ea"/>
                  <a:cs typeface="Calibri"/>
                </a:rPr>
                <a:pPr marL="0" indent="0" algn="ctr"/>
                <a:t>Sedes</a:t>
              </a:fld>
              <a:endParaRPr lang="es-ES" sz="1200" b="0" i="0" u="none" strike="noStrike">
                <a:solidFill>
                  <a:schemeClr val="bg1"/>
                </a:solidFill>
                <a:latin typeface="Calibri"/>
                <a:ea typeface="+mn-ea"/>
                <a:cs typeface="Calibri"/>
              </a:endParaRPr>
            </a:p>
          </xdr:txBody>
        </xdr:sp>
        <xdr:sp macro="" textlink="Traduccion!B23">
          <xdr:nvSpPr>
            <xdr:cNvPr id="25" name="CuadroTexto 24">
              <a:hlinkClick xmlns:r="http://schemas.openxmlformats.org/officeDocument/2006/relationships" r:id="rId10"/>
            </xdr:cNvPr>
            <xdr:cNvSpPr txBox="1"/>
          </xdr:nvSpPr>
          <xdr:spPr>
            <a:xfrm>
              <a:off x="1428750" y="914400"/>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0CCBAB4-25AA-45CF-A9C4-4E6E8227DFA8}" type="TxLink">
                <a:rPr lang="en-US" sz="1200" b="0" i="0" u="none" strike="noStrike">
                  <a:solidFill>
                    <a:schemeClr val="bg1"/>
                  </a:solidFill>
                  <a:latin typeface="Calibri"/>
                  <a:ea typeface="+mn-ea"/>
                  <a:cs typeface="Calibri"/>
                </a:rPr>
                <a:pPr marL="0" indent="0" algn="ctr"/>
                <a:t>Versión</a:t>
              </a:fld>
              <a:endParaRPr lang="es-ES" sz="1200" b="0" i="0" u="none" strike="noStrike">
                <a:solidFill>
                  <a:schemeClr val="bg1"/>
                </a:solidFill>
                <a:latin typeface="Calibri"/>
                <a:ea typeface="+mn-ea"/>
                <a:cs typeface="Calibri"/>
              </a:endParaRPr>
            </a:p>
          </xdr:txBody>
        </xdr:sp>
        <xdr:sp macro="" textlink="">
          <xdr:nvSpPr>
            <xdr:cNvPr id="26" name="CuadroTexto 25">
              <a:hlinkClick xmlns:r="http://schemas.openxmlformats.org/officeDocument/2006/relationships" r:id="rId11"/>
            </xdr:cNvPr>
            <xdr:cNvSpPr txBox="1"/>
          </xdr:nvSpPr>
          <xdr:spPr>
            <a:xfrm>
              <a:off x="2676524" y="962025"/>
              <a:ext cx="3648075" cy="371475"/>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i="0" u="none" strike="noStrike">
                  <a:solidFill>
                    <a:srgbClr val="0070C0"/>
                  </a:solidFill>
                  <a:latin typeface="Calibri"/>
                  <a:cs typeface="Calibri"/>
                </a:rPr>
                <a:t>Jorge García Samartín - www.gsamartin.es</a:t>
              </a:r>
            </a:p>
          </xdr:txBody>
        </xdr:sp>
        <xdr:sp macro="" textlink="Traduccion!B24">
          <xdr:nvSpPr>
            <xdr:cNvPr id="27" name="CuadroTexto 26">
              <a:hlinkClick xmlns:r="http://schemas.openxmlformats.org/officeDocument/2006/relationships" r:id="rId12"/>
            </xdr:cNvPr>
            <xdr:cNvSpPr txBox="1"/>
          </xdr:nvSpPr>
          <xdr:spPr>
            <a:xfrm>
              <a:off x="6362701" y="914400"/>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D189665-E935-4023-9F74-2ED6AD7817D5}" type="TxLink">
                <a:rPr lang="en-US" sz="1200" b="0" i="0" u="none" strike="noStrike">
                  <a:solidFill>
                    <a:schemeClr val="bg1"/>
                  </a:solidFill>
                  <a:latin typeface="Calibri"/>
                  <a:ea typeface="+mn-ea"/>
                  <a:cs typeface="Calibri"/>
                </a:rPr>
                <a:pPr marL="0" indent="0" algn="ctr"/>
                <a:t>Licencia</a:t>
              </a:fld>
              <a:endParaRPr lang="es-ES" sz="1200" b="0" i="0" u="none" strike="noStrike">
                <a:solidFill>
                  <a:schemeClr val="bg1"/>
                </a:solidFill>
                <a:latin typeface="Calibri"/>
                <a:ea typeface="+mn-ea"/>
                <a:cs typeface="Calibri"/>
              </a:endParaRPr>
            </a:p>
          </xdr:txBody>
        </xdr:sp>
        <xdr:sp macro="" textlink="Traduccion!B22">
          <xdr:nvSpPr>
            <xdr:cNvPr id="28" name="CuadroTexto 27">
              <a:hlinkClick xmlns:r="http://schemas.openxmlformats.org/officeDocument/2006/relationships" r:id="rId13"/>
            </xdr:cNvPr>
            <xdr:cNvSpPr txBox="1"/>
          </xdr:nvSpPr>
          <xdr:spPr>
            <a:xfrm>
              <a:off x="6362701"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EDFA6F8-4D8A-4236-9C3C-35E4585A6021}" type="TxLink">
                <a:rPr lang="en-US" sz="1200" b="0" i="0" u="none" strike="noStrike">
                  <a:solidFill>
                    <a:schemeClr val="bg1"/>
                  </a:solidFill>
                  <a:latin typeface="Calibri"/>
                  <a:ea typeface="+mn-ea"/>
                  <a:cs typeface="Calibri"/>
                </a:rPr>
                <a:pPr marL="0" indent="0" algn="ctr"/>
                <a:t>Grupos</a:t>
              </a:fld>
              <a:endParaRPr lang="es-ES" sz="1200" b="0" i="0" u="none" strike="noStrike">
                <a:solidFill>
                  <a:schemeClr val="bg1"/>
                </a:solidFill>
                <a:latin typeface="Calibri"/>
                <a:ea typeface="+mn-ea"/>
                <a:cs typeface="Calibri"/>
              </a:endParaRPr>
            </a:p>
          </xdr:txBody>
        </xdr:sp>
      </xdr:grpSp>
      <xdr:pic>
        <xdr:nvPicPr>
          <xdr:cNvPr id="19" name="Imagen 18" descr="http://gsamartin.es/imagenes/icons/logo-pos.png">
            <a:hlinkClick xmlns:r="http://schemas.openxmlformats.org/officeDocument/2006/relationships" r:id="rId11"/>
          </xdr:cNvPr>
          <xdr:cNvPicPr>
            <a:picLocks noChangeAspect="1" noChangeArrowheads="1"/>
          </xdr:cNvPicPr>
        </xdr:nvPicPr>
        <xdr:blipFill>
          <a:blip xmlns:r="http://schemas.openxmlformats.org/officeDocument/2006/relationships" r:embed="rId14">
            <a:extLst>
              <a:ext uri="{BEBA8EAE-BF5A-486C-A8C5-ECC9F3942E4B}">
                <a14:imgProps xmlns:a14="http://schemas.microsoft.com/office/drawing/2010/main">
                  <a14:imgLayer r:embed="rId15">
                    <a14:imgEffect>
                      <a14:saturation sat="66000"/>
                    </a14:imgEffect>
                    <a14:imgEffect>
                      <a14:brightnessContrast bright="-6000"/>
                    </a14:imgEffect>
                  </a14:imgLayer>
                </a14:imgProps>
              </a:ext>
              <a:ext uri="{28A0092B-C50C-407E-A947-70E740481C1C}">
                <a14:useLocalDpi xmlns:a14="http://schemas.microsoft.com/office/drawing/2010/main" val="0"/>
              </a:ext>
            </a:extLst>
          </a:blip>
          <a:srcRect/>
          <a:stretch>
            <a:fillRect/>
          </a:stretch>
        </xdr:blipFill>
        <xdr:spPr bwMode="auto">
          <a:xfrm>
            <a:off x="7591425" y="0"/>
            <a:ext cx="1400175" cy="14001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1619250</xdr:colOff>
      <xdr:row>1</xdr:row>
      <xdr:rowOff>9525</xdr:rowOff>
    </xdr:to>
    <xdr:grpSp>
      <xdr:nvGrpSpPr>
        <xdr:cNvPr id="15" name="Grupo 14"/>
        <xdr:cNvGrpSpPr/>
      </xdr:nvGrpSpPr>
      <xdr:grpSpPr>
        <a:xfrm>
          <a:off x="219075" y="0"/>
          <a:ext cx="8763000" cy="1400175"/>
          <a:chOff x="219076" y="0"/>
          <a:chExt cx="8772524" cy="1400175"/>
        </a:xfrm>
      </xdr:grpSpPr>
      <xdr:pic>
        <xdr:nvPicPr>
          <xdr:cNvPr id="16" name="Imagen 15">
            <a:hlinkClick xmlns:r="http://schemas.openxmlformats.org/officeDocument/2006/relationships" r:id="rId1"/>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l="24991" t="10054" r="27732" b="25264"/>
          <a:stretch/>
        </xdr:blipFill>
        <xdr:spPr>
          <a:xfrm>
            <a:off x="219076" y="19050"/>
            <a:ext cx="1182061" cy="1352550"/>
          </a:xfrm>
          <a:prstGeom prst="rect">
            <a:avLst/>
          </a:prstGeom>
          <a:ln>
            <a:noFill/>
          </a:ln>
        </xdr:spPr>
      </xdr:pic>
      <xdr:grpSp>
        <xdr:nvGrpSpPr>
          <xdr:cNvPr id="17" name="Grupo 16"/>
          <xdr:cNvGrpSpPr/>
        </xdr:nvGrpSpPr>
        <xdr:grpSpPr>
          <a:xfrm>
            <a:off x="1466849" y="28575"/>
            <a:ext cx="6134102" cy="1304925"/>
            <a:chOff x="1428749" y="28575"/>
            <a:chExt cx="6134102" cy="1304925"/>
          </a:xfrm>
        </xdr:grpSpPr>
        <xdr:sp macro="" textlink="Traduccion!B4">
          <xdr:nvSpPr>
            <xdr:cNvPr id="19" name="CuadroTexto 18">
              <a:hlinkClick xmlns:r="http://schemas.openxmlformats.org/officeDocument/2006/relationships" r:id="rId3"/>
            </xdr:cNvPr>
            <xdr:cNvSpPr txBox="1"/>
          </xdr:nvSpPr>
          <xdr:spPr>
            <a:xfrm>
              <a:off x="1428749" y="28575"/>
              <a:ext cx="6134101" cy="447675"/>
            </a:xfrm>
            <a:prstGeom prst="rect">
              <a:avLst/>
            </a:prstGeom>
            <a:solidFill>
              <a:srgbClr val="0070C0"/>
            </a:solidFill>
            <a:ln w="9525" cmpd="sng">
              <a:solidFill>
                <a:schemeClr val="lt1">
                  <a:shade val="50000"/>
                </a:schemeClr>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00586B9-E36E-455B-845E-34BE7244E237}" type="TxLink">
                <a:rPr lang="en-US" sz="1800" b="0" i="0" u="none" strike="noStrike">
                  <a:solidFill>
                    <a:schemeClr val="bg1"/>
                  </a:solidFill>
                  <a:latin typeface="Calibri"/>
                  <a:cs typeface="Calibri"/>
                </a:rPr>
                <a:pPr algn="ctr"/>
                <a:t>Copa del Mundo - Rusia 2018</a:t>
              </a:fld>
              <a:endParaRPr lang="es-ES" sz="1800">
                <a:solidFill>
                  <a:schemeClr val="bg1"/>
                </a:solidFill>
              </a:endParaRPr>
            </a:p>
          </xdr:txBody>
        </xdr:sp>
        <xdr:sp macro="" textlink="Traduccion!B18">
          <xdr:nvSpPr>
            <xdr:cNvPr id="20" name="CuadroTexto 19">
              <a:hlinkClick xmlns:r="http://schemas.openxmlformats.org/officeDocument/2006/relationships" r:id="rId4"/>
            </xdr:cNvPr>
            <xdr:cNvSpPr txBox="1"/>
          </xdr:nvSpPr>
          <xdr:spPr>
            <a:xfrm>
              <a:off x="1428751"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A95DE98-DB36-4A9D-AD1D-DF28FA765A04}" type="TxLink">
                <a:rPr lang="en-US" sz="1200" b="0" i="0" u="none" strike="noStrike">
                  <a:solidFill>
                    <a:schemeClr val="bg1"/>
                  </a:solidFill>
                  <a:latin typeface="Calibri"/>
                  <a:ea typeface="+mn-ea"/>
                  <a:cs typeface="Calibri"/>
                </a:rPr>
                <a:pPr marL="0" indent="0" algn="ctr"/>
                <a:t>Fase de Grupos</a:t>
              </a:fld>
              <a:endParaRPr lang="es-ES" sz="1200" b="0" i="0" u="none" strike="noStrike">
                <a:solidFill>
                  <a:schemeClr val="bg1"/>
                </a:solidFill>
                <a:latin typeface="Calibri"/>
                <a:ea typeface="+mn-ea"/>
                <a:cs typeface="Calibri"/>
              </a:endParaRPr>
            </a:p>
          </xdr:txBody>
        </xdr:sp>
        <xdr:sp macro="" textlink="Traduccion!B19">
          <xdr:nvSpPr>
            <xdr:cNvPr id="21" name="CuadroTexto 20">
              <a:hlinkClick xmlns:r="http://schemas.openxmlformats.org/officeDocument/2006/relationships" r:id="rId5"/>
            </xdr:cNvPr>
            <xdr:cNvSpPr txBox="1"/>
          </xdr:nvSpPr>
          <xdr:spPr>
            <a:xfrm>
              <a:off x="2667001"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56E5A1DF-D6FD-4165-B7C8-909FBD4FBBE9}" type="TxLink">
                <a:rPr lang="en-US" sz="1200" b="0" i="0" u="none" strike="noStrike">
                  <a:solidFill>
                    <a:schemeClr val="bg1"/>
                  </a:solidFill>
                  <a:latin typeface="Calibri"/>
                  <a:ea typeface="+mn-ea"/>
                  <a:cs typeface="Calibri"/>
                </a:rPr>
                <a:pPr marL="0" indent="0" algn="ctr"/>
                <a:t>Fase Final</a:t>
              </a:fld>
              <a:endParaRPr lang="es-ES" sz="1200" b="0" i="0" u="none" strike="noStrike">
                <a:solidFill>
                  <a:schemeClr val="bg1"/>
                </a:solidFill>
                <a:latin typeface="Calibri"/>
                <a:ea typeface="+mn-ea"/>
                <a:cs typeface="Calibri"/>
              </a:endParaRPr>
            </a:p>
          </xdr:txBody>
        </xdr:sp>
        <xdr:sp macro="" textlink="Traduccion!B20">
          <xdr:nvSpPr>
            <xdr:cNvPr id="22" name="CuadroTexto 21">
              <a:hlinkClick xmlns:r="http://schemas.openxmlformats.org/officeDocument/2006/relationships" r:id="rId6"/>
            </xdr:cNvPr>
            <xdr:cNvSpPr txBox="1"/>
          </xdr:nvSpPr>
          <xdr:spPr>
            <a:xfrm>
              <a:off x="3895726"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4794497C-11F8-43A7-9EF5-691A402D5F49}" type="TxLink">
                <a:rPr lang="en-US" sz="900" b="0" i="0" u="none" strike="noStrike">
                  <a:solidFill>
                    <a:schemeClr val="bg1"/>
                  </a:solidFill>
                  <a:latin typeface="Calibri"/>
                  <a:ea typeface="+mn-ea"/>
                  <a:cs typeface="Calibri"/>
                </a:rPr>
                <a:pPr marL="0" indent="0" algn="ctr"/>
                <a:t>Selección a Selección</a:t>
              </a:fld>
              <a:endParaRPr lang="es-ES" sz="900" b="0" i="0" u="none" strike="noStrike">
                <a:solidFill>
                  <a:schemeClr val="bg1"/>
                </a:solidFill>
                <a:latin typeface="Calibri"/>
                <a:ea typeface="+mn-ea"/>
                <a:cs typeface="Calibri"/>
              </a:endParaRPr>
            </a:p>
          </xdr:txBody>
        </xdr:sp>
        <xdr:sp macro="" textlink="Traduccion!B21">
          <xdr:nvSpPr>
            <xdr:cNvPr id="23" name="CuadroTexto 22">
              <a:hlinkClick xmlns:r="http://schemas.openxmlformats.org/officeDocument/2006/relationships" r:id="rId7"/>
            </xdr:cNvPr>
            <xdr:cNvSpPr txBox="1"/>
          </xdr:nvSpPr>
          <xdr:spPr>
            <a:xfrm>
              <a:off x="5133976"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A82BD95-35CD-41F2-8196-3EA9C170A195}" type="TxLink">
                <a:rPr lang="en-US" sz="1200" b="0" i="0" u="none" strike="noStrike">
                  <a:solidFill>
                    <a:schemeClr val="bg1"/>
                  </a:solidFill>
                  <a:latin typeface="Calibri"/>
                  <a:ea typeface="+mn-ea"/>
                  <a:cs typeface="Calibri"/>
                </a:rPr>
                <a:pPr marL="0" indent="0" algn="ctr"/>
                <a:t>Sedes</a:t>
              </a:fld>
              <a:endParaRPr lang="es-ES" sz="1200" b="0" i="0" u="none" strike="noStrike">
                <a:solidFill>
                  <a:schemeClr val="bg1"/>
                </a:solidFill>
                <a:latin typeface="Calibri"/>
                <a:ea typeface="+mn-ea"/>
                <a:cs typeface="Calibri"/>
              </a:endParaRPr>
            </a:p>
          </xdr:txBody>
        </xdr:sp>
        <xdr:sp macro="" textlink="Traduccion!B23">
          <xdr:nvSpPr>
            <xdr:cNvPr id="24" name="CuadroTexto 23">
              <a:hlinkClick xmlns:r="http://schemas.openxmlformats.org/officeDocument/2006/relationships" r:id="rId8"/>
            </xdr:cNvPr>
            <xdr:cNvSpPr txBox="1"/>
          </xdr:nvSpPr>
          <xdr:spPr>
            <a:xfrm>
              <a:off x="1428750" y="914400"/>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0CCBAB4-25AA-45CF-A9C4-4E6E8227DFA8}" type="TxLink">
                <a:rPr lang="en-US" sz="1200" b="0" i="0" u="none" strike="noStrike">
                  <a:solidFill>
                    <a:schemeClr val="bg1"/>
                  </a:solidFill>
                  <a:latin typeface="Calibri"/>
                  <a:ea typeface="+mn-ea"/>
                  <a:cs typeface="Calibri"/>
                </a:rPr>
                <a:pPr marL="0" indent="0" algn="ctr"/>
                <a:t>Versión</a:t>
              </a:fld>
              <a:endParaRPr lang="es-ES" sz="1200" b="0" i="0" u="none" strike="noStrike">
                <a:solidFill>
                  <a:schemeClr val="bg1"/>
                </a:solidFill>
                <a:latin typeface="Calibri"/>
                <a:ea typeface="+mn-ea"/>
                <a:cs typeface="Calibri"/>
              </a:endParaRPr>
            </a:p>
          </xdr:txBody>
        </xdr:sp>
        <xdr:sp macro="" textlink="">
          <xdr:nvSpPr>
            <xdr:cNvPr id="25" name="CuadroTexto 24">
              <a:hlinkClick xmlns:r="http://schemas.openxmlformats.org/officeDocument/2006/relationships" r:id="rId9"/>
            </xdr:cNvPr>
            <xdr:cNvSpPr txBox="1"/>
          </xdr:nvSpPr>
          <xdr:spPr>
            <a:xfrm>
              <a:off x="2676524" y="962025"/>
              <a:ext cx="3648075" cy="371475"/>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i="0" u="none" strike="noStrike">
                  <a:solidFill>
                    <a:srgbClr val="0070C0"/>
                  </a:solidFill>
                  <a:latin typeface="Calibri"/>
                  <a:cs typeface="Calibri"/>
                </a:rPr>
                <a:t>Jorge García Samartín - www.gsamartin.es</a:t>
              </a:r>
            </a:p>
          </xdr:txBody>
        </xdr:sp>
        <xdr:sp macro="" textlink="Traduccion!B24">
          <xdr:nvSpPr>
            <xdr:cNvPr id="26" name="CuadroTexto 25">
              <a:hlinkClick xmlns:r="http://schemas.openxmlformats.org/officeDocument/2006/relationships" r:id="rId10"/>
            </xdr:cNvPr>
            <xdr:cNvSpPr txBox="1"/>
          </xdr:nvSpPr>
          <xdr:spPr>
            <a:xfrm>
              <a:off x="6362701" y="914400"/>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D189665-E935-4023-9F74-2ED6AD7817D5}" type="TxLink">
                <a:rPr lang="en-US" sz="1200" b="0" i="0" u="none" strike="noStrike">
                  <a:solidFill>
                    <a:schemeClr val="bg1"/>
                  </a:solidFill>
                  <a:latin typeface="Calibri"/>
                  <a:ea typeface="+mn-ea"/>
                  <a:cs typeface="Calibri"/>
                </a:rPr>
                <a:pPr marL="0" indent="0" algn="ctr"/>
                <a:t>Licencia</a:t>
              </a:fld>
              <a:endParaRPr lang="es-ES" sz="1200" b="0" i="0" u="none" strike="noStrike">
                <a:solidFill>
                  <a:schemeClr val="bg1"/>
                </a:solidFill>
                <a:latin typeface="Calibri"/>
                <a:ea typeface="+mn-ea"/>
                <a:cs typeface="Calibri"/>
              </a:endParaRPr>
            </a:p>
          </xdr:txBody>
        </xdr:sp>
        <xdr:sp macro="" textlink="Traduccion!B22">
          <xdr:nvSpPr>
            <xdr:cNvPr id="27" name="CuadroTexto 26">
              <a:hlinkClick xmlns:r="http://schemas.openxmlformats.org/officeDocument/2006/relationships" r:id="rId11"/>
            </xdr:cNvPr>
            <xdr:cNvSpPr txBox="1"/>
          </xdr:nvSpPr>
          <xdr:spPr>
            <a:xfrm>
              <a:off x="6362701"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EDFA6F8-4D8A-4236-9C3C-35E4585A6021}" type="TxLink">
                <a:rPr lang="en-US" sz="1200" b="0" i="0" u="none" strike="noStrike">
                  <a:solidFill>
                    <a:schemeClr val="bg1"/>
                  </a:solidFill>
                  <a:latin typeface="Calibri"/>
                  <a:ea typeface="+mn-ea"/>
                  <a:cs typeface="Calibri"/>
                </a:rPr>
                <a:pPr marL="0" indent="0" algn="ctr"/>
                <a:t>Grupos</a:t>
              </a:fld>
              <a:endParaRPr lang="es-ES" sz="1200" b="0" i="0" u="none" strike="noStrike">
                <a:solidFill>
                  <a:schemeClr val="bg1"/>
                </a:solidFill>
                <a:latin typeface="Calibri"/>
                <a:ea typeface="+mn-ea"/>
                <a:cs typeface="Calibri"/>
              </a:endParaRPr>
            </a:p>
          </xdr:txBody>
        </xdr:sp>
      </xdr:grpSp>
      <xdr:pic>
        <xdr:nvPicPr>
          <xdr:cNvPr id="18" name="Imagen 17" descr="http://gsamartin.es/imagenes/icons/logo-pos.png">
            <a:hlinkClick xmlns:r="http://schemas.openxmlformats.org/officeDocument/2006/relationships" r:id="rId9"/>
          </xdr:cNvPr>
          <xdr:cNvPicPr>
            <a:picLocks noChangeAspect="1" noChangeArrowheads="1"/>
          </xdr:cNvPicPr>
        </xdr:nvPicPr>
        <xdr:blipFill>
          <a:blip xmlns:r="http://schemas.openxmlformats.org/officeDocument/2006/relationships" r:embed="rId12">
            <a:extLst>
              <a:ext uri="{BEBA8EAE-BF5A-486C-A8C5-ECC9F3942E4B}">
                <a14:imgProps xmlns:a14="http://schemas.microsoft.com/office/drawing/2010/main">
                  <a14:imgLayer r:embed="rId13">
                    <a14:imgEffect>
                      <a14:saturation sat="66000"/>
                    </a14:imgEffect>
                    <a14:imgEffect>
                      <a14:brightnessContrast bright="-6000"/>
                    </a14:imgEffect>
                  </a14:imgLayer>
                </a14:imgProps>
              </a:ext>
              <a:ext uri="{28A0092B-C50C-407E-A947-70E740481C1C}">
                <a14:useLocalDpi xmlns:a14="http://schemas.microsoft.com/office/drawing/2010/main" val="0"/>
              </a:ext>
            </a:extLst>
          </a:blip>
          <a:srcRect/>
          <a:stretch>
            <a:fillRect/>
          </a:stretch>
        </xdr:blipFill>
        <xdr:spPr bwMode="auto">
          <a:xfrm>
            <a:off x="7591425" y="0"/>
            <a:ext cx="1400175" cy="14001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1</xdr:row>
      <xdr:rowOff>1</xdr:rowOff>
    </xdr:from>
    <xdr:to>
      <xdr:col>5</xdr:col>
      <xdr:colOff>0</xdr:colOff>
      <xdr:row>2</xdr:row>
      <xdr:rowOff>1</xdr:rowOff>
    </xdr:to>
    <xdr:pic>
      <xdr:nvPicPr>
        <xdr:cNvPr id="5" name="Imagen 4" descr="https://upload.wikimedia.org/wikipedia/commons/thumb/0/07/Moscow-Exterior_of_Luzhniki_Stadium_%282%29.jpg/640px-Moscow-Exterior_of_Luzhniki_Stadium_%282%29.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7382" y="190501"/>
          <a:ext cx="5277971" cy="2891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xdr:row>
      <xdr:rowOff>1</xdr:rowOff>
    </xdr:from>
    <xdr:to>
      <xdr:col>5</xdr:col>
      <xdr:colOff>0</xdr:colOff>
      <xdr:row>3</xdr:row>
      <xdr:rowOff>0</xdr:rowOff>
    </xdr:to>
    <xdr:pic>
      <xdr:nvPicPr>
        <xdr:cNvPr id="6" name="Imagen 5" descr="https://upload.wikimedia.org/wikipedia/commons/thumb/1/13/Stadium_Spartak_in_Moscow_%28cropped%29.jpg/640px-Stadium_Spartak_in_Moscow_%28cropped%29.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57382" y="3081619"/>
          <a:ext cx="5277971" cy="2891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xdr:row>
      <xdr:rowOff>1</xdr:rowOff>
    </xdr:from>
    <xdr:to>
      <xdr:col>5</xdr:col>
      <xdr:colOff>0</xdr:colOff>
      <xdr:row>4</xdr:row>
      <xdr:rowOff>1</xdr:rowOff>
    </xdr:to>
    <xdr:pic>
      <xdr:nvPicPr>
        <xdr:cNvPr id="7" name="Imagen 6" descr="Spb 06-2017 img40 Krestovsky Stadium (cropped).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57382" y="5972736"/>
          <a:ext cx="5277971" cy="2891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xdr:colOff>
      <xdr:row>4</xdr:row>
      <xdr:rowOff>0</xdr:rowOff>
    </xdr:from>
    <xdr:to>
      <xdr:col>5</xdr:col>
      <xdr:colOff>0</xdr:colOff>
      <xdr:row>5</xdr:row>
      <xdr:rowOff>0</xdr:rowOff>
    </xdr:to>
    <xdr:pic>
      <xdr:nvPicPr>
        <xdr:cNvPr id="8" name="Imagen 7" descr="Kaliningrad stadium - 2018-04-07.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157383" y="8863853"/>
          <a:ext cx="5277970" cy="2891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xdr:row>
      <xdr:rowOff>1</xdr:rowOff>
    </xdr:from>
    <xdr:to>
      <xdr:col>5</xdr:col>
      <xdr:colOff>0</xdr:colOff>
      <xdr:row>13</xdr:row>
      <xdr:rowOff>0</xdr:rowOff>
    </xdr:to>
    <xdr:pic>
      <xdr:nvPicPr>
        <xdr:cNvPr id="9" name="Imagen 8" descr="ÐÐ°Ð·Ð°Ð½Ñ Ð°ÑÐµÐ½Ð°.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157382" y="31992795"/>
          <a:ext cx="5277971" cy="2891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xdr:row>
      <xdr:rowOff>1</xdr:rowOff>
    </xdr:from>
    <xdr:to>
      <xdr:col>5</xdr:col>
      <xdr:colOff>0</xdr:colOff>
      <xdr:row>12</xdr:row>
      <xdr:rowOff>1</xdr:rowOff>
    </xdr:to>
    <xdr:pic>
      <xdr:nvPicPr>
        <xdr:cNvPr id="10" name="Imagen 9" descr="Samara Arena.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157382" y="29101677"/>
          <a:ext cx="5277971" cy="2891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xdr:row>
      <xdr:rowOff>1</xdr:rowOff>
    </xdr:from>
    <xdr:to>
      <xdr:col>5</xdr:col>
      <xdr:colOff>0</xdr:colOff>
      <xdr:row>7</xdr:row>
      <xdr:rowOff>1</xdr:rowOff>
    </xdr:to>
    <xdr:pic>
      <xdr:nvPicPr>
        <xdr:cNvPr id="11" name="Imagen 10" descr="Scale model of Volgograd Arena 01.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157382" y="14646089"/>
          <a:ext cx="5277971" cy="2891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xdr:colOff>
      <xdr:row>10</xdr:row>
      <xdr:rowOff>0</xdr:rowOff>
    </xdr:from>
    <xdr:to>
      <xdr:col>5</xdr:col>
      <xdr:colOff>0</xdr:colOff>
      <xdr:row>11</xdr:row>
      <xdr:rowOff>0</xdr:rowOff>
    </xdr:to>
    <xdr:pic>
      <xdr:nvPicPr>
        <xdr:cNvPr id="12" name="Imagen 11" descr="Mordovia Arena stadium.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157383" y="26210559"/>
          <a:ext cx="5277970" cy="2891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xdr:row>
      <xdr:rowOff>1</xdr:rowOff>
    </xdr:from>
    <xdr:to>
      <xdr:col>5</xdr:col>
      <xdr:colOff>0</xdr:colOff>
      <xdr:row>10</xdr:row>
      <xdr:rowOff>1</xdr:rowOff>
    </xdr:to>
    <xdr:pic>
      <xdr:nvPicPr>
        <xdr:cNvPr id="13" name="Imagen 12" descr="Rostov Arena2018 (cropped).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157382" y="23319442"/>
          <a:ext cx="5277971" cy="2891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xdr:row>
      <xdr:rowOff>0</xdr:rowOff>
    </xdr:from>
    <xdr:to>
      <xdr:col>5</xdr:col>
      <xdr:colOff>0</xdr:colOff>
      <xdr:row>9</xdr:row>
      <xdr:rowOff>0</xdr:rowOff>
    </xdr:to>
    <xdr:pic>
      <xdr:nvPicPr>
        <xdr:cNvPr id="14" name="Imagen 13" descr="Fisht Olympic Stadium 2017.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157382" y="20428324"/>
          <a:ext cx="5277971" cy="2891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xdr:row>
      <xdr:rowOff>1</xdr:rowOff>
    </xdr:from>
    <xdr:to>
      <xdr:col>5</xdr:col>
      <xdr:colOff>0</xdr:colOff>
      <xdr:row>8</xdr:row>
      <xdr:rowOff>1</xdr:rowOff>
    </xdr:to>
    <xdr:pic>
      <xdr:nvPicPr>
        <xdr:cNvPr id="15" name="Imagen 14" descr="Estadio Central (Ekaterinburg-arena).jpg"/>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b="5447"/>
        <a:stretch/>
      </xdr:blipFill>
      <xdr:spPr bwMode="auto">
        <a:xfrm>
          <a:off x="4157382" y="17537207"/>
          <a:ext cx="5277971" cy="2891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xdr:colOff>
      <xdr:row>5</xdr:row>
      <xdr:rowOff>0</xdr:rowOff>
    </xdr:from>
    <xdr:to>
      <xdr:col>5</xdr:col>
      <xdr:colOff>0</xdr:colOff>
      <xdr:row>6</xdr:row>
      <xdr:rowOff>0</xdr:rowOff>
    </xdr:to>
    <xdr:pic>
      <xdr:nvPicPr>
        <xdr:cNvPr id="17" name="Imagen 16" descr="https://upload.wikimedia.org/wikipedia/commons/thumb/c/c2/%D0%A1%D1%82%D0%B0%D0%B4%D0%B8%D0%BE%D0%BD_%D0%9D%D0%B8%D0%B6%D0%BD%D0%B8%D0%B9_%D0%9D%D0%BE%D0%B2%D0%B3%D0%BE%D1%80%D0%BE%D0%B4%2C_23_%D0%B8%D1%8E%D0%BD%D1%8F_2018.jpg/640px-%D0%A1%D1%82%D0%B0%D0%B4%D0%B8%D0%BE%D0%BD_%D0%9D%D0%B8%D0%B6%D0%BD%D0%B8%D0%B9_%D0%9D%D0%BE%D0%B2%D0%B3%D0%BE%D1%80%D0%BE%D0%B4%2C_23_%D0%B8%D1%8E%D0%BD%D1%8F_2018.jpg"/>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24" t="6385" r="638" b="20646"/>
        <a:stretch/>
      </xdr:blipFill>
      <xdr:spPr bwMode="auto">
        <a:xfrm>
          <a:off x="4157383" y="11754971"/>
          <a:ext cx="5277970" cy="2891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361950</xdr:colOff>
      <xdr:row>1</xdr:row>
      <xdr:rowOff>104775</xdr:rowOff>
    </xdr:from>
    <xdr:to>
      <xdr:col>12</xdr:col>
      <xdr:colOff>523875</xdr:colOff>
      <xdr:row>28</xdr:row>
      <xdr:rowOff>95885</xdr:rowOff>
    </xdr:to>
    <xdr:pic>
      <xdr:nvPicPr>
        <xdr:cNvPr id="17" name="Imagen 16" descr="Resultado de imagen de rusia 2018 logo"/>
        <xdr:cNvPicPr>
          <a:picLocks noChangeAspect="1" noChangeArrowheads="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l="25000" t="10870" r="27272" b="26087"/>
        <a:stretch/>
      </xdr:blipFill>
      <xdr:spPr bwMode="auto">
        <a:xfrm>
          <a:off x="3895725" y="866775"/>
          <a:ext cx="4733925" cy="5229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8167</xdr:colOff>
      <xdr:row>0</xdr:row>
      <xdr:rowOff>9525</xdr:rowOff>
    </xdr:from>
    <xdr:to>
      <xdr:col>18</xdr:col>
      <xdr:colOff>0</xdr:colOff>
      <xdr:row>0</xdr:row>
      <xdr:rowOff>742950</xdr:rowOff>
    </xdr:to>
    <xdr:sp macro="" textlink="Traduccion!B4">
      <xdr:nvSpPr>
        <xdr:cNvPr id="33" name="CuadroTexto 32"/>
        <xdr:cNvSpPr txBox="1"/>
      </xdr:nvSpPr>
      <xdr:spPr>
        <a:xfrm>
          <a:off x="227242" y="9525"/>
          <a:ext cx="11955233" cy="733425"/>
        </a:xfrm>
        <a:prstGeom prst="rect">
          <a:avLst/>
        </a:prstGeom>
        <a:solidFill>
          <a:srgbClr val="0070C0"/>
        </a:solidFill>
        <a:ln w="9525" cmpd="sng">
          <a:no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00586B9-E36E-455B-845E-34BE7244E237}" type="TxLink">
            <a:rPr lang="en-US" sz="3600" b="0" i="0" u="none" strike="noStrike">
              <a:solidFill>
                <a:schemeClr val="bg1"/>
              </a:solidFill>
              <a:latin typeface="+mn-lt"/>
              <a:cs typeface="Arial" panose="020B0604020202020204" pitchFamily="34" charset="0"/>
            </a:rPr>
            <a:pPr algn="ctr"/>
            <a:t>Copa del Mundo - Rusia 2018</a:t>
          </a:fld>
          <a:endParaRPr lang="es-ES" sz="3600">
            <a:solidFill>
              <a:schemeClr val="bg1"/>
            </a:solidFill>
            <a:latin typeface="+mn-lt"/>
            <a:cs typeface="Arial" panose="020B0604020202020204" pitchFamily="34" charset="0"/>
          </a:endParaRPr>
        </a:p>
      </xdr:txBody>
    </xdr:sp>
    <xdr:clientData/>
  </xdr:twoCellAnchor>
  <xdr:twoCellAnchor editAs="oneCell">
    <xdr:from>
      <xdr:col>0</xdr:col>
      <xdr:colOff>208195</xdr:colOff>
      <xdr:row>6</xdr:row>
      <xdr:rowOff>180975</xdr:rowOff>
    </xdr:from>
    <xdr:to>
      <xdr:col>6</xdr:col>
      <xdr:colOff>9525</xdr:colOff>
      <xdr:row>8</xdr:row>
      <xdr:rowOff>171450</xdr:rowOff>
    </xdr:to>
    <xdr:sp macro="" textlink="Traduccion!B18">
      <xdr:nvSpPr>
        <xdr:cNvPr id="34" name="CuadroTexto 33">
          <a:hlinkClick xmlns:r="http://schemas.openxmlformats.org/officeDocument/2006/relationships" r:id="rId2"/>
        </xdr:cNvPr>
        <xdr:cNvSpPr txBox="1"/>
      </xdr:nvSpPr>
      <xdr:spPr>
        <a:xfrm>
          <a:off x="208195" y="2114550"/>
          <a:ext cx="3335105" cy="371475"/>
        </a:xfrm>
        <a:prstGeom prst="rect">
          <a:avLst/>
        </a:prstGeom>
        <a:solidFill>
          <a:srgbClr val="0070C0"/>
        </a:solidFill>
        <a:ln w="9525" cmpd="sng">
          <a:solidFill>
            <a:schemeClr val="lt1">
              <a:shade val="50000"/>
            </a:schemeClr>
          </a:solidFill>
        </a:ln>
        <a:effectLst>
          <a:reflection blurRad="6350" stA="50000" endA="300" endPos="55500" dist="50800" dir="5400000" sy="-100000" algn="bl" rotWithShape="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540ABAFA-C5A7-4981-810D-74A687BCD5FA}" type="TxLink">
            <a:rPr lang="en-US" sz="1600" b="0" i="0" u="none" strike="noStrike">
              <a:solidFill>
                <a:schemeClr val="bg1"/>
              </a:solidFill>
              <a:latin typeface="Calibri"/>
              <a:ea typeface="+mn-ea"/>
              <a:cs typeface="Calibri"/>
            </a:rPr>
            <a:pPr marL="0" indent="0" algn="ctr"/>
            <a:t>Fase de Grupos</a:t>
          </a:fld>
          <a:endParaRPr lang="es-ES" sz="1600" b="0" i="0" u="none" strike="noStrike">
            <a:solidFill>
              <a:schemeClr val="bg1"/>
            </a:solidFill>
            <a:latin typeface="Calibri"/>
            <a:ea typeface="+mn-ea"/>
            <a:cs typeface="Calibri"/>
          </a:endParaRPr>
        </a:p>
      </xdr:txBody>
    </xdr:sp>
    <xdr:clientData/>
  </xdr:twoCellAnchor>
  <xdr:twoCellAnchor editAs="oneCell">
    <xdr:from>
      <xdr:col>12</xdr:col>
      <xdr:colOff>748441</xdr:colOff>
      <xdr:row>7</xdr:row>
      <xdr:rowOff>9525</xdr:rowOff>
    </xdr:from>
    <xdr:to>
      <xdr:col>17</xdr:col>
      <xdr:colOff>942974</xdr:colOff>
      <xdr:row>9</xdr:row>
      <xdr:rowOff>0</xdr:rowOff>
    </xdr:to>
    <xdr:sp macro="" textlink="Equipos!G5">
      <xdr:nvSpPr>
        <xdr:cNvPr id="36" name="CuadroTexto 35">
          <a:hlinkClick xmlns:r="http://schemas.openxmlformats.org/officeDocument/2006/relationships" r:id="rId3"/>
        </xdr:cNvPr>
        <xdr:cNvSpPr txBox="1"/>
      </xdr:nvSpPr>
      <xdr:spPr>
        <a:xfrm>
          <a:off x="8854216" y="2133600"/>
          <a:ext cx="3318733" cy="371475"/>
        </a:xfrm>
        <a:prstGeom prst="rect">
          <a:avLst/>
        </a:prstGeom>
        <a:solidFill>
          <a:srgbClr val="0070C0"/>
        </a:solidFill>
        <a:ln w="9525" cmpd="sng">
          <a:solidFill>
            <a:schemeClr val="lt1">
              <a:shade val="50000"/>
            </a:schemeClr>
          </a:solidFill>
        </a:ln>
        <a:effectLst>
          <a:reflection blurRad="6350" stA="50000" endA="300" endPos="55500" dist="50800" dir="5400000" sy="-100000" algn="bl" rotWithShape="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8635DD7-A814-44EE-A7EA-7D58E2C4D845}" type="TxLink">
            <a:rPr lang="en-US" sz="1600" b="0" i="0" u="none" strike="noStrike">
              <a:solidFill>
                <a:schemeClr val="bg1"/>
              </a:solidFill>
              <a:latin typeface="Calibri"/>
              <a:ea typeface="+mn-ea"/>
              <a:cs typeface="Calibri"/>
            </a:rPr>
            <a:pPr marL="0" indent="0" algn="ctr"/>
            <a:t>Francia</a:t>
          </a:fld>
          <a:endParaRPr lang="es-ES" sz="1600" b="0" i="0" u="none" strike="noStrike">
            <a:solidFill>
              <a:schemeClr val="bg1"/>
            </a:solidFill>
            <a:latin typeface="Calibri"/>
            <a:ea typeface="+mn-ea"/>
            <a:cs typeface="Calibri"/>
          </a:endParaRPr>
        </a:p>
      </xdr:txBody>
    </xdr:sp>
    <xdr:clientData/>
  </xdr:twoCellAnchor>
  <xdr:twoCellAnchor editAs="oneCell">
    <xdr:from>
      <xdr:col>13</xdr:col>
      <xdr:colOff>13670</xdr:colOff>
      <xdr:row>15</xdr:row>
      <xdr:rowOff>0</xdr:rowOff>
    </xdr:from>
    <xdr:to>
      <xdr:col>17</xdr:col>
      <xdr:colOff>952499</xdr:colOff>
      <xdr:row>16</xdr:row>
      <xdr:rowOff>180975</xdr:rowOff>
    </xdr:to>
    <xdr:sp macro="" textlink="Sedes!G3">
      <xdr:nvSpPr>
        <xdr:cNvPr id="37" name="CuadroTexto 36">
          <a:hlinkClick xmlns:r="http://schemas.openxmlformats.org/officeDocument/2006/relationships" r:id="rId4"/>
        </xdr:cNvPr>
        <xdr:cNvSpPr txBox="1"/>
      </xdr:nvSpPr>
      <xdr:spPr>
        <a:xfrm>
          <a:off x="8881445" y="3676650"/>
          <a:ext cx="3301029" cy="371475"/>
        </a:xfrm>
        <a:prstGeom prst="rect">
          <a:avLst/>
        </a:prstGeom>
        <a:solidFill>
          <a:srgbClr val="0070C0"/>
        </a:solidFill>
        <a:ln w="9525" cmpd="sng">
          <a:solidFill>
            <a:schemeClr val="lt1">
              <a:shade val="50000"/>
            </a:schemeClr>
          </a:solidFill>
        </a:ln>
        <a:effectLst>
          <a:reflection blurRad="6350" stA="50000" endA="300" endPos="55500" dist="50800" dir="5400000" sy="-100000" algn="bl" rotWithShape="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5EE4E4D2-7FCF-4E3C-91BD-980D00361D3E}" type="TxLink">
            <a:rPr lang="en-US" sz="1600" b="0" i="0" u="none" strike="noStrike">
              <a:solidFill>
                <a:schemeClr val="bg1"/>
              </a:solidFill>
              <a:latin typeface="Calibri"/>
              <a:ea typeface="+mn-ea"/>
              <a:cs typeface="Calibri"/>
            </a:rPr>
            <a:pPr marL="0" indent="0" algn="ctr"/>
            <a:t>Estadio Krevstoski</a:t>
          </a:fld>
          <a:endParaRPr lang="es-ES" sz="1600" b="0" i="0" u="none" strike="noStrike">
            <a:solidFill>
              <a:schemeClr val="bg1"/>
            </a:solidFill>
            <a:latin typeface="Calibri"/>
            <a:ea typeface="+mn-ea"/>
            <a:cs typeface="Calibri"/>
          </a:endParaRPr>
        </a:p>
      </xdr:txBody>
    </xdr:sp>
    <xdr:clientData/>
  </xdr:twoCellAnchor>
  <xdr:twoCellAnchor editAs="oneCell">
    <xdr:from>
      <xdr:col>13</xdr:col>
      <xdr:colOff>2811</xdr:colOff>
      <xdr:row>23</xdr:row>
      <xdr:rowOff>19050</xdr:rowOff>
    </xdr:from>
    <xdr:to>
      <xdr:col>17</xdr:col>
      <xdr:colOff>942974</xdr:colOff>
      <xdr:row>25</xdr:row>
      <xdr:rowOff>0</xdr:rowOff>
    </xdr:to>
    <xdr:sp macro="" textlink="Grupos!P3">
      <xdr:nvSpPr>
        <xdr:cNvPr id="41" name="CuadroTexto 40">
          <a:hlinkClick xmlns:r="http://schemas.openxmlformats.org/officeDocument/2006/relationships" r:id="rId5"/>
        </xdr:cNvPr>
        <xdr:cNvSpPr txBox="1"/>
      </xdr:nvSpPr>
      <xdr:spPr>
        <a:xfrm>
          <a:off x="8870586" y="5248275"/>
          <a:ext cx="3302363" cy="371475"/>
        </a:xfrm>
        <a:prstGeom prst="rect">
          <a:avLst/>
        </a:prstGeom>
        <a:solidFill>
          <a:srgbClr val="0070C0"/>
        </a:solidFill>
        <a:ln w="9525" cmpd="sng">
          <a:solidFill>
            <a:schemeClr val="lt1">
              <a:shade val="50000"/>
            </a:schemeClr>
          </a:solidFill>
        </a:ln>
        <a:effectLst>
          <a:reflection blurRad="6350" stA="50000" endA="300" endPos="55500" dist="50800" dir="5400000" sy="-100000" algn="bl" rotWithShape="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6B79F4D1-D706-4823-B221-A8DAE8BC4100}" type="TxLink">
            <a:rPr lang="en-US" sz="1600" b="0" i="0" u="none" strike="noStrike">
              <a:solidFill>
                <a:schemeClr val="bg1"/>
              </a:solidFill>
              <a:latin typeface="Calibri"/>
              <a:ea typeface="+mn-ea"/>
              <a:cs typeface="Calibri"/>
            </a:rPr>
            <a:pPr marL="0" indent="0" algn="ctr"/>
            <a:t>Grupo B</a:t>
          </a:fld>
          <a:endParaRPr lang="es-ES" sz="1600" b="0" i="0" u="none" strike="noStrike">
            <a:solidFill>
              <a:schemeClr val="bg1"/>
            </a:solidFill>
            <a:latin typeface="Calibri"/>
            <a:ea typeface="+mn-ea"/>
            <a:cs typeface="Calibri"/>
          </a:endParaRPr>
        </a:p>
      </xdr:txBody>
    </xdr:sp>
    <xdr:clientData/>
  </xdr:twoCellAnchor>
  <xdr:oneCellAnchor>
    <xdr:from>
      <xdr:col>0</xdr:col>
      <xdr:colOff>208195</xdr:colOff>
      <xdr:row>14</xdr:row>
      <xdr:rowOff>180975</xdr:rowOff>
    </xdr:from>
    <xdr:ext cx="3335105" cy="371475"/>
    <xdr:sp macro="" textlink="Traduccion!B19">
      <xdr:nvSpPr>
        <xdr:cNvPr id="14" name="CuadroTexto 13">
          <a:hlinkClick xmlns:r="http://schemas.openxmlformats.org/officeDocument/2006/relationships" r:id="rId6"/>
        </xdr:cNvPr>
        <xdr:cNvSpPr txBox="1"/>
      </xdr:nvSpPr>
      <xdr:spPr>
        <a:xfrm>
          <a:off x="208195" y="3667125"/>
          <a:ext cx="3335105" cy="371475"/>
        </a:xfrm>
        <a:prstGeom prst="rect">
          <a:avLst/>
        </a:prstGeom>
        <a:solidFill>
          <a:srgbClr val="0070C0"/>
        </a:solidFill>
        <a:ln w="9525" cmpd="sng">
          <a:solidFill>
            <a:schemeClr val="lt1">
              <a:shade val="50000"/>
            </a:schemeClr>
          </a:solidFill>
        </a:ln>
        <a:effectLst>
          <a:reflection blurRad="6350" stA="50000" endA="300" endPos="55500" dist="50800" dir="5400000" sy="-100000" algn="bl" rotWithShape="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B6E8338-9E67-4DD6-ABED-97EAC6B603A2}" type="TxLink">
            <a:rPr lang="en-US" sz="1600" b="0" i="0" u="none" strike="noStrike">
              <a:solidFill>
                <a:schemeClr val="bg1"/>
              </a:solidFill>
              <a:latin typeface="Calibri"/>
              <a:ea typeface="+mn-ea"/>
              <a:cs typeface="Calibri"/>
            </a:rPr>
            <a:pPr marL="0" indent="0" algn="ctr"/>
            <a:t>Fase Final</a:t>
          </a:fld>
          <a:endParaRPr lang="es-ES" sz="1600" b="0" i="0" u="none" strike="noStrike">
            <a:solidFill>
              <a:schemeClr val="bg1"/>
            </a:solidFill>
            <a:latin typeface="Calibri"/>
            <a:ea typeface="+mn-ea"/>
            <a:cs typeface="Calibri"/>
          </a:endParaRPr>
        </a:p>
      </xdr:txBody>
    </xdr:sp>
    <xdr:clientData/>
  </xdr:oneCellAnchor>
  <xdr:twoCellAnchor editAs="oneCell">
    <xdr:from>
      <xdr:col>13</xdr:col>
      <xdr:colOff>400050</xdr:colOff>
      <xdr:row>25</xdr:row>
      <xdr:rowOff>164438</xdr:rowOff>
    </xdr:from>
    <xdr:to>
      <xdr:col>17</xdr:col>
      <xdr:colOff>552450</xdr:colOff>
      <xdr:row>29</xdr:row>
      <xdr:rowOff>24180</xdr:rowOff>
    </xdr:to>
    <xdr:pic>
      <xdr:nvPicPr>
        <xdr:cNvPr id="13" name="Imagen 12" descr="Banner positivo a todo color">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267825" y="5784188"/>
          <a:ext cx="2514600" cy="621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171450</xdr:colOff>
      <xdr:row>1</xdr:row>
      <xdr:rowOff>9525</xdr:rowOff>
    </xdr:to>
    <xdr:grpSp>
      <xdr:nvGrpSpPr>
        <xdr:cNvPr id="16" name="Grupo 15"/>
        <xdr:cNvGrpSpPr/>
      </xdr:nvGrpSpPr>
      <xdr:grpSpPr>
        <a:xfrm>
          <a:off x="219075" y="0"/>
          <a:ext cx="8763000" cy="1400175"/>
          <a:chOff x="219076" y="0"/>
          <a:chExt cx="8772524" cy="1400175"/>
        </a:xfrm>
      </xdr:grpSpPr>
      <xdr:pic>
        <xdr:nvPicPr>
          <xdr:cNvPr id="29" name="Imagen 28">
            <a:hlinkClick xmlns:r="http://schemas.openxmlformats.org/officeDocument/2006/relationships" r:id="rId1"/>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l="24991" t="10054" r="27732" b="25264"/>
          <a:stretch/>
        </xdr:blipFill>
        <xdr:spPr>
          <a:xfrm>
            <a:off x="219076" y="19050"/>
            <a:ext cx="1182061" cy="1352550"/>
          </a:xfrm>
          <a:prstGeom prst="rect">
            <a:avLst/>
          </a:prstGeom>
          <a:ln>
            <a:noFill/>
          </a:ln>
        </xdr:spPr>
      </xdr:pic>
      <xdr:grpSp>
        <xdr:nvGrpSpPr>
          <xdr:cNvPr id="30" name="Grupo 29"/>
          <xdr:cNvGrpSpPr/>
        </xdr:nvGrpSpPr>
        <xdr:grpSpPr>
          <a:xfrm>
            <a:off x="1466849" y="28575"/>
            <a:ext cx="6134102" cy="1304925"/>
            <a:chOff x="1428749" y="28575"/>
            <a:chExt cx="6134102" cy="1304925"/>
          </a:xfrm>
        </xdr:grpSpPr>
        <xdr:sp macro="" textlink="Traduccion!B4">
          <xdr:nvSpPr>
            <xdr:cNvPr id="32" name="CuadroTexto 31">
              <a:hlinkClick xmlns:r="http://schemas.openxmlformats.org/officeDocument/2006/relationships" r:id="rId3"/>
            </xdr:cNvPr>
            <xdr:cNvSpPr txBox="1"/>
          </xdr:nvSpPr>
          <xdr:spPr>
            <a:xfrm>
              <a:off x="1428749" y="28575"/>
              <a:ext cx="6134101" cy="447675"/>
            </a:xfrm>
            <a:prstGeom prst="rect">
              <a:avLst/>
            </a:prstGeom>
            <a:solidFill>
              <a:srgbClr val="0070C0"/>
            </a:solidFill>
            <a:ln w="9525" cmpd="sng">
              <a:solidFill>
                <a:schemeClr val="lt1">
                  <a:shade val="50000"/>
                </a:schemeClr>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00586B9-E36E-455B-845E-34BE7244E237}" type="TxLink">
                <a:rPr lang="en-US" sz="1800" b="0" i="0" u="none" strike="noStrike">
                  <a:solidFill>
                    <a:schemeClr val="bg1"/>
                  </a:solidFill>
                  <a:latin typeface="Calibri"/>
                  <a:cs typeface="Calibri"/>
                </a:rPr>
                <a:pPr algn="ctr"/>
                <a:t>Copa del Mundo - Rusia 2018</a:t>
              </a:fld>
              <a:endParaRPr lang="es-ES" sz="1800">
                <a:solidFill>
                  <a:schemeClr val="bg1"/>
                </a:solidFill>
              </a:endParaRPr>
            </a:p>
          </xdr:txBody>
        </xdr:sp>
        <xdr:sp macro="" textlink="Traduccion!B18">
          <xdr:nvSpPr>
            <xdr:cNvPr id="33" name="CuadroTexto 32">
              <a:hlinkClick xmlns:r="http://schemas.openxmlformats.org/officeDocument/2006/relationships" r:id="rId4"/>
            </xdr:cNvPr>
            <xdr:cNvSpPr txBox="1"/>
          </xdr:nvSpPr>
          <xdr:spPr>
            <a:xfrm>
              <a:off x="1428751"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540ABAFA-C5A7-4981-810D-74A687BCD5FA}" type="TxLink">
                <a:rPr lang="en-US" sz="1200" b="0" i="0" u="none" strike="noStrike">
                  <a:solidFill>
                    <a:schemeClr val="bg1"/>
                  </a:solidFill>
                  <a:latin typeface="Calibri"/>
                  <a:ea typeface="+mn-ea"/>
                  <a:cs typeface="Calibri"/>
                </a:rPr>
                <a:pPr marL="0" indent="0" algn="ctr"/>
                <a:t>Fase de Grupos</a:t>
              </a:fld>
              <a:endParaRPr lang="es-ES" sz="1200" b="0" i="0" u="none" strike="noStrike">
                <a:solidFill>
                  <a:schemeClr val="bg1"/>
                </a:solidFill>
                <a:latin typeface="Calibri"/>
                <a:ea typeface="+mn-ea"/>
                <a:cs typeface="Calibri"/>
              </a:endParaRPr>
            </a:p>
          </xdr:txBody>
        </xdr:sp>
        <xdr:sp macro="" textlink="Traduccion!B19">
          <xdr:nvSpPr>
            <xdr:cNvPr id="34" name="CuadroTexto 33">
              <a:hlinkClick xmlns:r="http://schemas.openxmlformats.org/officeDocument/2006/relationships" r:id="rId5"/>
            </xdr:cNvPr>
            <xdr:cNvSpPr txBox="1"/>
          </xdr:nvSpPr>
          <xdr:spPr>
            <a:xfrm>
              <a:off x="2667001"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4B5DB28-3600-4930-9101-C892C76D753F}" type="TxLink">
                <a:rPr lang="en-US" sz="1200" b="0" i="0" u="none" strike="noStrike">
                  <a:solidFill>
                    <a:schemeClr val="bg1"/>
                  </a:solidFill>
                  <a:latin typeface="Calibri"/>
                  <a:ea typeface="+mn-ea"/>
                  <a:cs typeface="Calibri"/>
                </a:rPr>
                <a:pPr marL="0" indent="0" algn="ctr"/>
                <a:t>Fase Final</a:t>
              </a:fld>
              <a:endParaRPr lang="es-ES" sz="1200" b="0" i="0" u="none" strike="noStrike">
                <a:solidFill>
                  <a:schemeClr val="bg1"/>
                </a:solidFill>
                <a:latin typeface="Calibri"/>
                <a:ea typeface="+mn-ea"/>
                <a:cs typeface="Calibri"/>
              </a:endParaRPr>
            </a:p>
          </xdr:txBody>
        </xdr:sp>
        <xdr:sp macro="" textlink="Traduccion!B20">
          <xdr:nvSpPr>
            <xdr:cNvPr id="35" name="CuadroTexto 34">
              <a:hlinkClick xmlns:r="http://schemas.openxmlformats.org/officeDocument/2006/relationships" r:id="rId6"/>
            </xdr:cNvPr>
            <xdr:cNvSpPr txBox="1"/>
          </xdr:nvSpPr>
          <xdr:spPr>
            <a:xfrm>
              <a:off x="3895726"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4794497C-11F8-43A7-9EF5-691A402D5F49}" type="TxLink">
                <a:rPr lang="en-US" sz="900" b="0" i="0" u="none" strike="noStrike">
                  <a:solidFill>
                    <a:schemeClr val="bg1"/>
                  </a:solidFill>
                  <a:latin typeface="Calibri"/>
                  <a:ea typeface="+mn-ea"/>
                  <a:cs typeface="Calibri"/>
                </a:rPr>
                <a:pPr marL="0" indent="0" algn="ctr"/>
                <a:t>Selección a Selección</a:t>
              </a:fld>
              <a:endParaRPr lang="es-ES" sz="900" b="0" i="0" u="none" strike="noStrike">
                <a:solidFill>
                  <a:schemeClr val="bg1"/>
                </a:solidFill>
                <a:latin typeface="Calibri"/>
                <a:ea typeface="+mn-ea"/>
                <a:cs typeface="Calibri"/>
              </a:endParaRPr>
            </a:p>
          </xdr:txBody>
        </xdr:sp>
        <xdr:sp macro="" textlink="Traduccion!B21">
          <xdr:nvSpPr>
            <xdr:cNvPr id="36" name="CuadroTexto 35">
              <a:hlinkClick xmlns:r="http://schemas.openxmlformats.org/officeDocument/2006/relationships" r:id="rId7"/>
            </xdr:cNvPr>
            <xdr:cNvSpPr txBox="1"/>
          </xdr:nvSpPr>
          <xdr:spPr>
            <a:xfrm>
              <a:off x="5133976"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A82BD95-35CD-41F2-8196-3EA9C170A195}" type="TxLink">
                <a:rPr lang="en-US" sz="1200" b="0" i="0" u="none" strike="noStrike">
                  <a:solidFill>
                    <a:schemeClr val="bg1"/>
                  </a:solidFill>
                  <a:latin typeface="Calibri"/>
                  <a:ea typeface="+mn-ea"/>
                  <a:cs typeface="Calibri"/>
                </a:rPr>
                <a:pPr marL="0" indent="0" algn="ctr"/>
                <a:t>Sedes</a:t>
              </a:fld>
              <a:endParaRPr lang="es-ES" sz="1200" b="0" i="0" u="none" strike="noStrike">
                <a:solidFill>
                  <a:schemeClr val="bg1"/>
                </a:solidFill>
                <a:latin typeface="Calibri"/>
                <a:ea typeface="+mn-ea"/>
                <a:cs typeface="Calibri"/>
              </a:endParaRPr>
            </a:p>
          </xdr:txBody>
        </xdr:sp>
        <xdr:sp macro="" textlink="Traduccion!B23">
          <xdr:nvSpPr>
            <xdr:cNvPr id="37" name="CuadroTexto 36">
              <a:hlinkClick xmlns:r="http://schemas.openxmlformats.org/officeDocument/2006/relationships" r:id="rId8"/>
            </xdr:cNvPr>
            <xdr:cNvSpPr txBox="1"/>
          </xdr:nvSpPr>
          <xdr:spPr>
            <a:xfrm>
              <a:off x="1428750" y="914400"/>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0CCBAB4-25AA-45CF-A9C4-4E6E8227DFA8}" type="TxLink">
                <a:rPr lang="en-US" sz="1200" b="0" i="0" u="none" strike="noStrike">
                  <a:solidFill>
                    <a:schemeClr val="bg1"/>
                  </a:solidFill>
                  <a:latin typeface="Calibri"/>
                  <a:ea typeface="+mn-ea"/>
                  <a:cs typeface="Calibri"/>
                </a:rPr>
                <a:pPr marL="0" indent="0" algn="ctr"/>
                <a:t>Versión</a:t>
              </a:fld>
              <a:endParaRPr lang="es-ES" sz="1200" b="0" i="0" u="none" strike="noStrike">
                <a:solidFill>
                  <a:schemeClr val="bg1"/>
                </a:solidFill>
                <a:latin typeface="Calibri"/>
                <a:ea typeface="+mn-ea"/>
                <a:cs typeface="Calibri"/>
              </a:endParaRPr>
            </a:p>
          </xdr:txBody>
        </xdr:sp>
        <xdr:sp macro="" textlink="">
          <xdr:nvSpPr>
            <xdr:cNvPr id="38" name="CuadroTexto 37">
              <a:hlinkClick xmlns:r="http://schemas.openxmlformats.org/officeDocument/2006/relationships" r:id="rId9"/>
            </xdr:cNvPr>
            <xdr:cNvSpPr txBox="1"/>
          </xdr:nvSpPr>
          <xdr:spPr>
            <a:xfrm>
              <a:off x="2676524" y="962025"/>
              <a:ext cx="3648075" cy="371475"/>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i="0" u="none" strike="noStrike">
                  <a:solidFill>
                    <a:srgbClr val="0070C0"/>
                  </a:solidFill>
                  <a:latin typeface="Calibri"/>
                  <a:cs typeface="Calibri"/>
                </a:rPr>
                <a:t>Jorge García Samartín - www.gsamartin.es</a:t>
              </a:r>
            </a:p>
          </xdr:txBody>
        </xdr:sp>
        <xdr:sp macro="" textlink="Traduccion!B24">
          <xdr:nvSpPr>
            <xdr:cNvPr id="39" name="CuadroTexto 38">
              <a:hlinkClick xmlns:r="http://schemas.openxmlformats.org/officeDocument/2006/relationships" r:id="rId10"/>
            </xdr:cNvPr>
            <xdr:cNvSpPr txBox="1"/>
          </xdr:nvSpPr>
          <xdr:spPr>
            <a:xfrm>
              <a:off x="6362701" y="914400"/>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D189665-E935-4023-9F74-2ED6AD7817D5}" type="TxLink">
                <a:rPr lang="en-US" sz="1200" b="0" i="0" u="none" strike="noStrike">
                  <a:solidFill>
                    <a:schemeClr val="bg1"/>
                  </a:solidFill>
                  <a:latin typeface="Calibri"/>
                  <a:ea typeface="+mn-ea"/>
                  <a:cs typeface="Calibri"/>
                </a:rPr>
                <a:pPr marL="0" indent="0" algn="ctr"/>
                <a:t>Licencia</a:t>
              </a:fld>
              <a:endParaRPr lang="es-ES" sz="1200" b="0" i="0" u="none" strike="noStrike">
                <a:solidFill>
                  <a:schemeClr val="bg1"/>
                </a:solidFill>
                <a:latin typeface="Calibri"/>
                <a:ea typeface="+mn-ea"/>
                <a:cs typeface="Calibri"/>
              </a:endParaRPr>
            </a:p>
          </xdr:txBody>
        </xdr:sp>
        <xdr:sp macro="" textlink="Traduccion!B22">
          <xdr:nvSpPr>
            <xdr:cNvPr id="40" name="CuadroTexto 39">
              <a:hlinkClick xmlns:r="http://schemas.openxmlformats.org/officeDocument/2006/relationships" r:id="rId11"/>
            </xdr:cNvPr>
            <xdr:cNvSpPr txBox="1"/>
          </xdr:nvSpPr>
          <xdr:spPr>
            <a:xfrm>
              <a:off x="6362701"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EDFA6F8-4D8A-4236-9C3C-35E4585A6021}" type="TxLink">
                <a:rPr lang="en-US" sz="1200" b="0" i="0" u="none" strike="noStrike">
                  <a:solidFill>
                    <a:schemeClr val="bg1"/>
                  </a:solidFill>
                  <a:latin typeface="Calibri"/>
                  <a:ea typeface="+mn-ea"/>
                  <a:cs typeface="Calibri"/>
                </a:rPr>
                <a:pPr marL="0" indent="0" algn="ctr"/>
                <a:t>Grupos</a:t>
              </a:fld>
              <a:endParaRPr lang="es-ES" sz="1200" b="0" i="0" u="none" strike="noStrike">
                <a:solidFill>
                  <a:schemeClr val="bg1"/>
                </a:solidFill>
                <a:latin typeface="Calibri"/>
                <a:ea typeface="+mn-ea"/>
                <a:cs typeface="Calibri"/>
              </a:endParaRPr>
            </a:p>
          </xdr:txBody>
        </xdr:sp>
      </xdr:grpSp>
      <xdr:pic>
        <xdr:nvPicPr>
          <xdr:cNvPr id="31" name="Imagen 30" descr="http://gsamartin.es/imagenes/icons/logo-pos.png">
            <a:hlinkClick xmlns:r="http://schemas.openxmlformats.org/officeDocument/2006/relationships" r:id="rId9"/>
          </xdr:cNvPr>
          <xdr:cNvPicPr>
            <a:picLocks noChangeAspect="1" noChangeArrowheads="1"/>
          </xdr:cNvPicPr>
        </xdr:nvPicPr>
        <xdr:blipFill>
          <a:blip xmlns:r="http://schemas.openxmlformats.org/officeDocument/2006/relationships" r:embed="rId12">
            <a:extLst>
              <a:ext uri="{BEBA8EAE-BF5A-486C-A8C5-ECC9F3942E4B}">
                <a14:imgProps xmlns:a14="http://schemas.microsoft.com/office/drawing/2010/main">
                  <a14:imgLayer r:embed="rId13">
                    <a14:imgEffect>
                      <a14:saturation sat="66000"/>
                    </a14:imgEffect>
                    <a14:imgEffect>
                      <a14:brightnessContrast bright="-6000"/>
                    </a14:imgEffect>
                  </a14:imgLayer>
                </a14:imgProps>
              </a:ext>
              <a:ext uri="{28A0092B-C50C-407E-A947-70E740481C1C}">
                <a14:useLocalDpi xmlns:a14="http://schemas.microsoft.com/office/drawing/2010/main" val="0"/>
              </a:ext>
            </a:extLst>
          </a:blip>
          <a:srcRect/>
          <a:stretch>
            <a:fillRect/>
          </a:stretch>
        </xdr:blipFill>
        <xdr:spPr bwMode="auto">
          <a:xfrm>
            <a:off x="7591425" y="0"/>
            <a:ext cx="1400175" cy="14001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12</xdr:col>
      <xdr:colOff>57149</xdr:colOff>
      <xdr:row>1</xdr:row>
      <xdr:rowOff>9525</xdr:rowOff>
    </xdr:to>
    <xdr:grpSp>
      <xdr:nvGrpSpPr>
        <xdr:cNvPr id="2" name="Grupo 1"/>
        <xdr:cNvGrpSpPr/>
      </xdr:nvGrpSpPr>
      <xdr:grpSpPr>
        <a:xfrm>
          <a:off x="219075" y="0"/>
          <a:ext cx="8772524" cy="1400175"/>
          <a:chOff x="219076" y="0"/>
          <a:chExt cx="8772524" cy="1400175"/>
        </a:xfrm>
      </xdr:grpSpPr>
      <xdr:pic>
        <xdr:nvPicPr>
          <xdr:cNvPr id="3" name="Imagen 2">
            <a:hlinkClick xmlns:r="http://schemas.openxmlformats.org/officeDocument/2006/relationships" r:id="rId1"/>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l="24991" t="10054" r="27732" b="25264"/>
          <a:stretch/>
        </xdr:blipFill>
        <xdr:spPr>
          <a:xfrm>
            <a:off x="219076" y="19050"/>
            <a:ext cx="1182061" cy="1352550"/>
          </a:xfrm>
          <a:prstGeom prst="rect">
            <a:avLst/>
          </a:prstGeom>
          <a:ln>
            <a:noFill/>
          </a:ln>
        </xdr:spPr>
      </xdr:pic>
      <xdr:grpSp>
        <xdr:nvGrpSpPr>
          <xdr:cNvPr id="4" name="Grupo 3"/>
          <xdr:cNvGrpSpPr/>
        </xdr:nvGrpSpPr>
        <xdr:grpSpPr>
          <a:xfrm>
            <a:off x="1466849" y="28575"/>
            <a:ext cx="6134102" cy="1304925"/>
            <a:chOff x="1428749" y="28575"/>
            <a:chExt cx="6134102" cy="1304925"/>
          </a:xfrm>
        </xdr:grpSpPr>
        <xdr:sp macro="" textlink="Traduccion!B4">
          <xdr:nvSpPr>
            <xdr:cNvPr id="6" name="CuadroTexto 5">
              <a:hlinkClick xmlns:r="http://schemas.openxmlformats.org/officeDocument/2006/relationships" r:id="rId3"/>
            </xdr:cNvPr>
            <xdr:cNvSpPr txBox="1"/>
          </xdr:nvSpPr>
          <xdr:spPr>
            <a:xfrm>
              <a:off x="1428749" y="28575"/>
              <a:ext cx="6134101" cy="447675"/>
            </a:xfrm>
            <a:prstGeom prst="rect">
              <a:avLst/>
            </a:prstGeom>
            <a:solidFill>
              <a:srgbClr val="0070C0"/>
            </a:solidFill>
            <a:ln w="9525" cmpd="sng">
              <a:solidFill>
                <a:schemeClr val="lt1">
                  <a:shade val="50000"/>
                </a:schemeClr>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00586B9-E36E-455B-845E-34BE7244E237}" type="TxLink">
                <a:rPr lang="en-US" sz="1800" b="0" i="0" u="none" strike="noStrike">
                  <a:solidFill>
                    <a:schemeClr val="bg1"/>
                  </a:solidFill>
                  <a:latin typeface="Calibri"/>
                  <a:cs typeface="Calibri"/>
                </a:rPr>
                <a:pPr algn="ctr"/>
                <a:t>Copa del Mundo - Rusia 2018</a:t>
              </a:fld>
              <a:endParaRPr lang="es-ES" sz="1800">
                <a:solidFill>
                  <a:schemeClr val="bg1"/>
                </a:solidFill>
              </a:endParaRPr>
            </a:p>
          </xdr:txBody>
        </xdr:sp>
        <xdr:sp macro="" textlink="Traduccion!C18">
          <xdr:nvSpPr>
            <xdr:cNvPr id="7" name="CuadroTexto 6">
              <a:hlinkClick xmlns:r="http://schemas.openxmlformats.org/officeDocument/2006/relationships" r:id="rId4"/>
            </xdr:cNvPr>
            <xdr:cNvSpPr txBox="1"/>
          </xdr:nvSpPr>
          <xdr:spPr>
            <a:xfrm>
              <a:off x="1428751"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FD7FB53-7654-4023-8AED-A4EA6C828274}" type="TxLink">
                <a:rPr lang="en-US" sz="1200" b="0" i="0" u="none" strike="noStrike">
                  <a:solidFill>
                    <a:schemeClr val="bg1"/>
                  </a:solidFill>
                  <a:latin typeface="Calibri"/>
                  <a:cs typeface="Calibri"/>
                </a:rPr>
                <a:pPr algn="ctr"/>
                <a:t>Fase de Grupos</a:t>
              </a:fld>
              <a:endParaRPr lang="es-ES" sz="2000">
                <a:solidFill>
                  <a:schemeClr val="bg1"/>
                </a:solidFill>
              </a:endParaRPr>
            </a:p>
          </xdr:txBody>
        </xdr:sp>
        <xdr:sp macro="" textlink="Traduccion!B19">
          <xdr:nvSpPr>
            <xdr:cNvPr id="8" name="CuadroTexto 7">
              <a:hlinkClick xmlns:r="http://schemas.openxmlformats.org/officeDocument/2006/relationships" r:id="rId5"/>
            </xdr:cNvPr>
            <xdr:cNvSpPr txBox="1"/>
          </xdr:nvSpPr>
          <xdr:spPr>
            <a:xfrm>
              <a:off x="2667001"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4B5DB28-3600-4930-9101-C892C76D753F}" type="TxLink">
                <a:rPr lang="en-US" sz="1200" b="0" i="0" u="none" strike="noStrike">
                  <a:solidFill>
                    <a:schemeClr val="bg1"/>
                  </a:solidFill>
                  <a:latin typeface="Calibri"/>
                  <a:ea typeface="+mn-ea"/>
                  <a:cs typeface="Calibri"/>
                </a:rPr>
                <a:pPr marL="0" indent="0" algn="ctr"/>
                <a:t>Fase Final</a:t>
              </a:fld>
              <a:endParaRPr lang="es-ES" sz="1200" b="0" i="0" u="none" strike="noStrike">
                <a:solidFill>
                  <a:schemeClr val="bg1"/>
                </a:solidFill>
                <a:latin typeface="Calibri"/>
                <a:ea typeface="+mn-ea"/>
                <a:cs typeface="Calibri"/>
              </a:endParaRPr>
            </a:p>
          </xdr:txBody>
        </xdr:sp>
        <xdr:sp macro="" textlink="Traduccion!B20">
          <xdr:nvSpPr>
            <xdr:cNvPr id="9" name="CuadroTexto 8">
              <a:hlinkClick xmlns:r="http://schemas.openxmlformats.org/officeDocument/2006/relationships" r:id="rId6"/>
            </xdr:cNvPr>
            <xdr:cNvSpPr txBox="1"/>
          </xdr:nvSpPr>
          <xdr:spPr>
            <a:xfrm>
              <a:off x="3895726"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4794497C-11F8-43A7-9EF5-691A402D5F49}" type="TxLink">
                <a:rPr lang="en-US" sz="900" b="0" i="0" u="none" strike="noStrike">
                  <a:solidFill>
                    <a:schemeClr val="bg1"/>
                  </a:solidFill>
                  <a:latin typeface="Calibri"/>
                  <a:ea typeface="+mn-ea"/>
                  <a:cs typeface="Calibri"/>
                </a:rPr>
                <a:pPr marL="0" indent="0" algn="ctr"/>
                <a:t>Selección a Selección</a:t>
              </a:fld>
              <a:endParaRPr lang="es-ES" sz="900" b="0" i="0" u="none" strike="noStrike">
                <a:solidFill>
                  <a:schemeClr val="bg1"/>
                </a:solidFill>
                <a:latin typeface="Calibri"/>
                <a:ea typeface="+mn-ea"/>
                <a:cs typeface="Calibri"/>
              </a:endParaRPr>
            </a:p>
          </xdr:txBody>
        </xdr:sp>
        <xdr:sp macro="" textlink="Traduccion!B21">
          <xdr:nvSpPr>
            <xdr:cNvPr id="10" name="CuadroTexto 9">
              <a:hlinkClick xmlns:r="http://schemas.openxmlformats.org/officeDocument/2006/relationships" r:id="rId7"/>
            </xdr:cNvPr>
            <xdr:cNvSpPr txBox="1"/>
          </xdr:nvSpPr>
          <xdr:spPr>
            <a:xfrm>
              <a:off x="5133976"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A82BD95-35CD-41F2-8196-3EA9C170A195}" type="TxLink">
                <a:rPr lang="en-US" sz="1200" b="0" i="0" u="none" strike="noStrike">
                  <a:solidFill>
                    <a:schemeClr val="bg1"/>
                  </a:solidFill>
                  <a:latin typeface="Calibri"/>
                  <a:ea typeface="+mn-ea"/>
                  <a:cs typeface="Calibri"/>
                </a:rPr>
                <a:pPr marL="0" indent="0" algn="ctr"/>
                <a:t>Sedes</a:t>
              </a:fld>
              <a:endParaRPr lang="es-ES" sz="1200" b="0" i="0" u="none" strike="noStrike">
                <a:solidFill>
                  <a:schemeClr val="bg1"/>
                </a:solidFill>
                <a:latin typeface="Calibri"/>
                <a:ea typeface="+mn-ea"/>
                <a:cs typeface="Calibri"/>
              </a:endParaRPr>
            </a:p>
          </xdr:txBody>
        </xdr:sp>
        <xdr:sp macro="" textlink="Traduccion!B23">
          <xdr:nvSpPr>
            <xdr:cNvPr id="11" name="CuadroTexto 10">
              <a:hlinkClick xmlns:r="http://schemas.openxmlformats.org/officeDocument/2006/relationships" r:id="rId8"/>
            </xdr:cNvPr>
            <xdr:cNvSpPr txBox="1"/>
          </xdr:nvSpPr>
          <xdr:spPr>
            <a:xfrm>
              <a:off x="1428750" y="914400"/>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0CCBAB4-25AA-45CF-A9C4-4E6E8227DFA8}" type="TxLink">
                <a:rPr lang="en-US" sz="1200" b="0" i="0" u="none" strike="noStrike">
                  <a:solidFill>
                    <a:schemeClr val="bg1"/>
                  </a:solidFill>
                  <a:latin typeface="Calibri"/>
                  <a:ea typeface="+mn-ea"/>
                  <a:cs typeface="Calibri"/>
                </a:rPr>
                <a:pPr marL="0" indent="0" algn="ctr"/>
                <a:t>Versión</a:t>
              </a:fld>
              <a:endParaRPr lang="es-ES" sz="1200" b="0" i="0" u="none" strike="noStrike">
                <a:solidFill>
                  <a:schemeClr val="bg1"/>
                </a:solidFill>
                <a:latin typeface="Calibri"/>
                <a:ea typeface="+mn-ea"/>
                <a:cs typeface="Calibri"/>
              </a:endParaRPr>
            </a:p>
          </xdr:txBody>
        </xdr:sp>
        <xdr:sp macro="" textlink="">
          <xdr:nvSpPr>
            <xdr:cNvPr id="12" name="CuadroTexto 11">
              <a:hlinkClick xmlns:r="http://schemas.openxmlformats.org/officeDocument/2006/relationships" r:id="rId9"/>
            </xdr:cNvPr>
            <xdr:cNvSpPr txBox="1"/>
          </xdr:nvSpPr>
          <xdr:spPr>
            <a:xfrm>
              <a:off x="2676524" y="962025"/>
              <a:ext cx="3648075" cy="371475"/>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i="0" u="none" strike="noStrike">
                  <a:solidFill>
                    <a:srgbClr val="0070C0"/>
                  </a:solidFill>
                  <a:latin typeface="Calibri"/>
                  <a:cs typeface="Calibri"/>
                </a:rPr>
                <a:t>Jorge García Samartín - www.gsamartin.es</a:t>
              </a:r>
            </a:p>
          </xdr:txBody>
        </xdr:sp>
        <xdr:sp macro="" textlink="Traduccion!B24">
          <xdr:nvSpPr>
            <xdr:cNvPr id="13" name="CuadroTexto 12">
              <a:hlinkClick xmlns:r="http://schemas.openxmlformats.org/officeDocument/2006/relationships" r:id="rId10"/>
            </xdr:cNvPr>
            <xdr:cNvSpPr txBox="1"/>
          </xdr:nvSpPr>
          <xdr:spPr>
            <a:xfrm>
              <a:off x="6362701" y="914400"/>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D189665-E935-4023-9F74-2ED6AD7817D5}" type="TxLink">
                <a:rPr lang="en-US" sz="1200" b="0" i="0" u="none" strike="noStrike">
                  <a:solidFill>
                    <a:schemeClr val="bg1"/>
                  </a:solidFill>
                  <a:latin typeface="Calibri"/>
                  <a:ea typeface="+mn-ea"/>
                  <a:cs typeface="Calibri"/>
                </a:rPr>
                <a:pPr marL="0" indent="0" algn="ctr"/>
                <a:t>Licencia</a:t>
              </a:fld>
              <a:endParaRPr lang="es-ES" sz="1200" b="0" i="0" u="none" strike="noStrike">
                <a:solidFill>
                  <a:schemeClr val="bg1"/>
                </a:solidFill>
                <a:latin typeface="Calibri"/>
                <a:ea typeface="+mn-ea"/>
                <a:cs typeface="Calibri"/>
              </a:endParaRPr>
            </a:p>
          </xdr:txBody>
        </xdr:sp>
        <xdr:sp macro="" textlink="Traduccion!B22">
          <xdr:nvSpPr>
            <xdr:cNvPr id="14" name="CuadroTexto 13">
              <a:hlinkClick xmlns:r="http://schemas.openxmlformats.org/officeDocument/2006/relationships" r:id="rId11"/>
            </xdr:cNvPr>
            <xdr:cNvSpPr txBox="1"/>
          </xdr:nvSpPr>
          <xdr:spPr>
            <a:xfrm>
              <a:off x="6362701"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EDFA6F8-4D8A-4236-9C3C-35E4585A6021}" type="TxLink">
                <a:rPr lang="en-US" sz="1200" b="0" i="0" u="none" strike="noStrike">
                  <a:solidFill>
                    <a:schemeClr val="bg1"/>
                  </a:solidFill>
                  <a:latin typeface="Calibri"/>
                  <a:ea typeface="+mn-ea"/>
                  <a:cs typeface="Calibri"/>
                </a:rPr>
                <a:pPr marL="0" indent="0" algn="ctr"/>
                <a:t>Grupos</a:t>
              </a:fld>
              <a:endParaRPr lang="es-ES" sz="1200" b="0" i="0" u="none" strike="noStrike">
                <a:solidFill>
                  <a:schemeClr val="bg1"/>
                </a:solidFill>
                <a:latin typeface="Calibri"/>
                <a:ea typeface="+mn-ea"/>
                <a:cs typeface="Calibri"/>
              </a:endParaRPr>
            </a:p>
          </xdr:txBody>
        </xdr:sp>
      </xdr:grpSp>
      <xdr:pic>
        <xdr:nvPicPr>
          <xdr:cNvPr id="5" name="Imagen 4" descr="http://gsamartin.es/imagenes/icons/logo-pos.png">
            <a:hlinkClick xmlns:r="http://schemas.openxmlformats.org/officeDocument/2006/relationships" r:id="rId9"/>
          </xdr:cNvPr>
          <xdr:cNvPicPr>
            <a:picLocks noChangeAspect="1" noChangeArrowheads="1"/>
          </xdr:cNvPicPr>
        </xdr:nvPicPr>
        <xdr:blipFill>
          <a:blip xmlns:r="http://schemas.openxmlformats.org/officeDocument/2006/relationships" r:embed="rId12">
            <a:extLst>
              <a:ext uri="{BEBA8EAE-BF5A-486C-A8C5-ECC9F3942E4B}">
                <a14:imgProps xmlns:a14="http://schemas.microsoft.com/office/drawing/2010/main">
                  <a14:imgLayer r:embed="rId13">
                    <a14:imgEffect>
                      <a14:saturation sat="66000"/>
                    </a14:imgEffect>
                    <a14:imgEffect>
                      <a14:brightnessContrast bright="-6000"/>
                    </a14:imgEffect>
                  </a14:imgLayer>
                </a14:imgProps>
              </a:ext>
              <a:ext uri="{28A0092B-C50C-407E-A947-70E740481C1C}">
                <a14:useLocalDpi xmlns:a14="http://schemas.microsoft.com/office/drawing/2010/main" val="0"/>
              </a:ext>
            </a:extLst>
          </a:blip>
          <a:srcRect/>
          <a:stretch>
            <a:fillRect/>
          </a:stretch>
        </xdr:blipFill>
        <xdr:spPr bwMode="auto">
          <a:xfrm>
            <a:off x="7591425" y="0"/>
            <a:ext cx="1400175" cy="14001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41</xdr:col>
      <xdr:colOff>208189</xdr:colOff>
      <xdr:row>3</xdr:row>
      <xdr:rowOff>19050</xdr:rowOff>
    </xdr:from>
    <xdr:to>
      <xdr:col>41</xdr:col>
      <xdr:colOff>809625</xdr:colOff>
      <xdr:row>9</xdr:row>
      <xdr:rowOff>104775</xdr:rowOff>
    </xdr:to>
    <xdr:pic>
      <xdr:nvPicPr>
        <xdr:cNvPr id="2" name="Imagen 1" descr="Resultado de imagen de copa del mundo"/>
        <xdr:cNvPicPr>
          <a:picLocks noChangeAspect="1" noChangeArrowheads="1"/>
        </xdr:cNvPicPr>
      </xdr:nvPicPr>
      <xdr:blipFill rotWithShape="1">
        <a:blip xmlns:r="http://schemas.openxmlformats.org/officeDocument/2006/relationships" r:embed="rId1" cstate="print">
          <a:clrChange>
            <a:clrFrom>
              <a:srgbClr val="F6F6F6"/>
            </a:clrFrom>
            <a:clrTo>
              <a:srgbClr val="F6F6F6">
                <a:alpha val="0"/>
              </a:srgbClr>
            </a:clrTo>
          </a:clrChange>
          <a:extLst>
            <a:ext uri="{28A0092B-C50C-407E-A947-70E740481C1C}">
              <a14:useLocalDpi xmlns:a14="http://schemas.microsoft.com/office/drawing/2010/main" val="0"/>
            </a:ext>
          </a:extLst>
        </a:blip>
        <a:srcRect l="28173" t="15433" r="27886" b="13531"/>
        <a:stretch/>
      </xdr:blipFill>
      <xdr:spPr bwMode="auto">
        <a:xfrm>
          <a:off x="11209564" y="619125"/>
          <a:ext cx="601436"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0</xdr:row>
      <xdr:rowOff>0</xdr:rowOff>
    </xdr:from>
    <xdr:to>
      <xdr:col>34</xdr:col>
      <xdr:colOff>85725</xdr:colOff>
      <xdr:row>1</xdr:row>
      <xdr:rowOff>9525</xdr:rowOff>
    </xdr:to>
    <xdr:grpSp>
      <xdr:nvGrpSpPr>
        <xdr:cNvPr id="29" name="Grupo 28"/>
        <xdr:cNvGrpSpPr/>
      </xdr:nvGrpSpPr>
      <xdr:grpSpPr>
        <a:xfrm>
          <a:off x="219075" y="0"/>
          <a:ext cx="8763000" cy="1400175"/>
          <a:chOff x="219076" y="0"/>
          <a:chExt cx="8772524" cy="1400175"/>
        </a:xfrm>
      </xdr:grpSpPr>
      <xdr:pic>
        <xdr:nvPicPr>
          <xdr:cNvPr id="30" name="Imagen 29">
            <a:hlinkClick xmlns:r="http://schemas.openxmlformats.org/officeDocument/2006/relationships" r:id="rId2"/>
          </xdr:cNvPr>
          <xdr:cNvPicPr>
            <a:picLocks noChangeAspect="1"/>
          </xdr:cNvPicPr>
        </xdr:nvPicPr>
        <xdr:blipFill rotWithShape="1">
          <a:blip xmlns:r="http://schemas.openxmlformats.org/officeDocument/2006/relationships" r:embed="rId3">
            <a:clrChange>
              <a:clrFrom>
                <a:srgbClr val="FFFFFF"/>
              </a:clrFrom>
              <a:clrTo>
                <a:srgbClr val="FFFFFF">
                  <a:alpha val="0"/>
                </a:srgbClr>
              </a:clrTo>
            </a:clrChange>
          </a:blip>
          <a:srcRect l="24991" t="10054" r="27732" b="25264"/>
          <a:stretch/>
        </xdr:blipFill>
        <xdr:spPr>
          <a:xfrm>
            <a:off x="219076" y="19050"/>
            <a:ext cx="1182061" cy="1352550"/>
          </a:xfrm>
          <a:prstGeom prst="rect">
            <a:avLst/>
          </a:prstGeom>
          <a:ln>
            <a:noFill/>
          </a:ln>
        </xdr:spPr>
      </xdr:pic>
      <xdr:grpSp>
        <xdr:nvGrpSpPr>
          <xdr:cNvPr id="31" name="Grupo 30"/>
          <xdr:cNvGrpSpPr/>
        </xdr:nvGrpSpPr>
        <xdr:grpSpPr>
          <a:xfrm>
            <a:off x="1466849" y="28575"/>
            <a:ext cx="6134102" cy="1304925"/>
            <a:chOff x="1428749" y="28575"/>
            <a:chExt cx="6134102" cy="1304925"/>
          </a:xfrm>
        </xdr:grpSpPr>
        <xdr:sp macro="" textlink="Traduccion!B4">
          <xdr:nvSpPr>
            <xdr:cNvPr id="33" name="CuadroTexto 32">
              <a:hlinkClick xmlns:r="http://schemas.openxmlformats.org/officeDocument/2006/relationships" r:id="rId4"/>
            </xdr:cNvPr>
            <xdr:cNvSpPr txBox="1"/>
          </xdr:nvSpPr>
          <xdr:spPr>
            <a:xfrm>
              <a:off x="1428749" y="28575"/>
              <a:ext cx="6134101" cy="447675"/>
            </a:xfrm>
            <a:prstGeom prst="rect">
              <a:avLst/>
            </a:prstGeom>
            <a:solidFill>
              <a:srgbClr val="0070C0"/>
            </a:solidFill>
            <a:ln w="9525" cmpd="sng">
              <a:solidFill>
                <a:schemeClr val="lt1">
                  <a:shade val="50000"/>
                </a:schemeClr>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00586B9-E36E-455B-845E-34BE7244E237}" type="TxLink">
                <a:rPr lang="en-US" sz="1800" b="0" i="0" u="none" strike="noStrike">
                  <a:solidFill>
                    <a:schemeClr val="bg1"/>
                  </a:solidFill>
                  <a:latin typeface="Calibri"/>
                  <a:cs typeface="Calibri"/>
                </a:rPr>
                <a:pPr algn="ctr"/>
                <a:t>Copa del Mundo - Rusia 2018</a:t>
              </a:fld>
              <a:endParaRPr lang="es-ES" sz="1800">
                <a:solidFill>
                  <a:schemeClr val="bg1"/>
                </a:solidFill>
              </a:endParaRPr>
            </a:p>
          </xdr:txBody>
        </xdr:sp>
        <xdr:sp macro="" textlink="Traduccion!B18">
          <xdr:nvSpPr>
            <xdr:cNvPr id="34" name="CuadroTexto 33">
              <a:hlinkClick xmlns:r="http://schemas.openxmlformats.org/officeDocument/2006/relationships" r:id="rId5"/>
            </xdr:cNvPr>
            <xdr:cNvSpPr txBox="1"/>
          </xdr:nvSpPr>
          <xdr:spPr>
            <a:xfrm>
              <a:off x="1428751"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540ABAFA-C5A7-4981-810D-74A687BCD5FA}" type="TxLink">
                <a:rPr lang="en-US" sz="1200" b="0" i="0" u="none" strike="noStrike">
                  <a:solidFill>
                    <a:schemeClr val="bg1"/>
                  </a:solidFill>
                  <a:latin typeface="Calibri"/>
                  <a:ea typeface="+mn-ea"/>
                  <a:cs typeface="Calibri"/>
                </a:rPr>
                <a:pPr marL="0" indent="0" algn="ctr"/>
                <a:t>Fase de Grupos</a:t>
              </a:fld>
              <a:endParaRPr lang="es-ES" sz="1200" b="0" i="0" u="none" strike="noStrike">
                <a:solidFill>
                  <a:schemeClr val="bg1"/>
                </a:solidFill>
                <a:latin typeface="Calibri"/>
                <a:ea typeface="+mn-ea"/>
                <a:cs typeface="Calibri"/>
              </a:endParaRPr>
            </a:p>
          </xdr:txBody>
        </xdr:sp>
        <xdr:sp macro="" textlink="Traduccion!B19">
          <xdr:nvSpPr>
            <xdr:cNvPr id="35" name="CuadroTexto 34">
              <a:hlinkClick xmlns:r="http://schemas.openxmlformats.org/officeDocument/2006/relationships" r:id="rId6"/>
            </xdr:cNvPr>
            <xdr:cNvSpPr txBox="1"/>
          </xdr:nvSpPr>
          <xdr:spPr>
            <a:xfrm>
              <a:off x="2667001"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4B5DB28-3600-4930-9101-C892C76D753F}" type="TxLink">
                <a:rPr lang="en-US" sz="1200" b="0" i="0" u="none" strike="noStrike">
                  <a:solidFill>
                    <a:schemeClr val="bg1"/>
                  </a:solidFill>
                  <a:latin typeface="Calibri"/>
                  <a:ea typeface="+mn-ea"/>
                  <a:cs typeface="Calibri"/>
                </a:rPr>
                <a:pPr marL="0" indent="0" algn="ctr"/>
                <a:t>Fase Final</a:t>
              </a:fld>
              <a:endParaRPr lang="es-ES" sz="1200" b="0" i="0" u="none" strike="noStrike">
                <a:solidFill>
                  <a:schemeClr val="bg1"/>
                </a:solidFill>
                <a:latin typeface="Calibri"/>
                <a:ea typeface="+mn-ea"/>
                <a:cs typeface="Calibri"/>
              </a:endParaRPr>
            </a:p>
          </xdr:txBody>
        </xdr:sp>
        <xdr:sp macro="" textlink="Traduccion!B20">
          <xdr:nvSpPr>
            <xdr:cNvPr id="36" name="CuadroTexto 35">
              <a:hlinkClick xmlns:r="http://schemas.openxmlformats.org/officeDocument/2006/relationships" r:id="rId7"/>
            </xdr:cNvPr>
            <xdr:cNvSpPr txBox="1"/>
          </xdr:nvSpPr>
          <xdr:spPr>
            <a:xfrm>
              <a:off x="3895726"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4794497C-11F8-43A7-9EF5-691A402D5F49}" type="TxLink">
                <a:rPr lang="en-US" sz="900" b="0" i="0" u="none" strike="noStrike">
                  <a:solidFill>
                    <a:schemeClr val="bg1"/>
                  </a:solidFill>
                  <a:latin typeface="Calibri"/>
                  <a:ea typeface="+mn-ea"/>
                  <a:cs typeface="Calibri"/>
                </a:rPr>
                <a:pPr marL="0" indent="0" algn="ctr"/>
                <a:t>Selección a Selección</a:t>
              </a:fld>
              <a:endParaRPr lang="es-ES" sz="900" b="0" i="0" u="none" strike="noStrike">
                <a:solidFill>
                  <a:schemeClr val="bg1"/>
                </a:solidFill>
                <a:latin typeface="Calibri"/>
                <a:ea typeface="+mn-ea"/>
                <a:cs typeface="Calibri"/>
              </a:endParaRPr>
            </a:p>
          </xdr:txBody>
        </xdr:sp>
        <xdr:sp macro="" textlink="Traduccion!B21">
          <xdr:nvSpPr>
            <xdr:cNvPr id="37" name="CuadroTexto 36">
              <a:hlinkClick xmlns:r="http://schemas.openxmlformats.org/officeDocument/2006/relationships" r:id="rId8"/>
            </xdr:cNvPr>
            <xdr:cNvSpPr txBox="1"/>
          </xdr:nvSpPr>
          <xdr:spPr>
            <a:xfrm>
              <a:off x="5133976"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A82BD95-35CD-41F2-8196-3EA9C170A195}" type="TxLink">
                <a:rPr lang="en-US" sz="1200" b="0" i="0" u="none" strike="noStrike">
                  <a:solidFill>
                    <a:schemeClr val="bg1"/>
                  </a:solidFill>
                  <a:latin typeface="Calibri"/>
                  <a:ea typeface="+mn-ea"/>
                  <a:cs typeface="Calibri"/>
                </a:rPr>
                <a:pPr marL="0" indent="0" algn="ctr"/>
                <a:t>Sedes</a:t>
              </a:fld>
              <a:endParaRPr lang="es-ES" sz="1200" b="0" i="0" u="none" strike="noStrike">
                <a:solidFill>
                  <a:schemeClr val="bg1"/>
                </a:solidFill>
                <a:latin typeface="Calibri"/>
                <a:ea typeface="+mn-ea"/>
                <a:cs typeface="Calibri"/>
              </a:endParaRPr>
            </a:p>
          </xdr:txBody>
        </xdr:sp>
        <xdr:sp macro="" textlink="Traduccion!B23">
          <xdr:nvSpPr>
            <xdr:cNvPr id="38" name="CuadroTexto 37">
              <a:hlinkClick xmlns:r="http://schemas.openxmlformats.org/officeDocument/2006/relationships" r:id="rId9"/>
            </xdr:cNvPr>
            <xdr:cNvSpPr txBox="1"/>
          </xdr:nvSpPr>
          <xdr:spPr>
            <a:xfrm>
              <a:off x="1428750" y="914400"/>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0CCBAB4-25AA-45CF-A9C4-4E6E8227DFA8}" type="TxLink">
                <a:rPr lang="en-US" sz="1200" b="0" i="0" u="none" strike="noStrike">
                  <a:solidFill>
                    <a:schemeClr val="bg1"/>
                  </a:solidFill>
                  <a:latin typeface="Calibri"/>
                  <a:ea typeface="+mn-ea"/>
                  <a:cs typeface="Calibri"/>
                </a:rPr>
                <a:pPr marL="0" indent="0" algn="ctr"/>
                <a:t>Versión</a:t>
              </a:fld>
              <a:endParaRPr lang="es-ES" sz="1200" b="0" i="0" u="none" strike="noStrike">
                <a:solidFill>
                  <a:schemeClr val="bg1"/>
                </a:solidFill>
                <a:latin typeface="Calibri"/>
                <a:ea typeface="+mn-ea"/>
                <a:cs typeface="Calibri"/>
              </a:endParaRPr>
            </a:p>
          </xdr:txBody>
        </xdr:sp>
        <xdr:sp macro="" textlink="">
          <xdr:nvSpPr>
            <xdr:cNvPr id="39" name="CuadroTexto 38">
              <a:hlinkClick xmlns:r="http://schemas.openxmlformats.org/officeDocument/2006/relationships" r:id="rId10"/>
            </xdr:cNvPr>
            <xdr:cNvSpPr txBox="1"/>
          </xdr:nvSpPr>
          <xdr:spPr>
            <a:xfrm>
              <a:off x="2676524" y="962025"/>
              <a:ext cx="3648075" cy="371475"/>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i="0" u="none" strike="noStrike">
                  <a:solidFill>
                    <a:srgbClr val="0070C0"/>
                  </a:solidFill>
                  <a:latin typeface="Calibri"/>
                  <a:cs typeface="Calibri"/>
                </a:rPr>
                <a:t>Jorge García Samartín - www.gsamartin.es</a:t>
              </a:r>
            </a:p>
          </xdr:txBody>
        </xdr:sp>
        <xdr:sp macro="" textlink="Traduccion!B24">
          <xdr:nvSpPr>
            <xdr:cNvPr id="40" name="CuadroTexto 39">
              <a:hlinkClick xmlns:r="http://schemas.openxmlformats.org/officeDocument/2006/relationships" r:id="rId11"/>
            </xdr:cNvPr>
            <xdr:cNvSpPr txBox="1"/>
          </xdr:nvSpPr>
          <xdr:spPr>
            <a:xfrm>
              <a:off x="6362701" y="914400"/>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D189665-E935-4023-9F74-2ED6AD7817D5}" type="TxLink">
                <a:rPr lang="en-US" sz="1200" b="0" i="0" u="none" strike="noStrike">
                  <a:solidFill>
                    <a:schemeClr val="bg1"/>
                  </a:solidFill>
                  <a:latin typeface="Calibri"/>
                  <a:ea typeface="+mn-ea"/>
                  <a:cs typeface="Calibri"/>
                </a:rPr>
                <a:pPr marL="0" indent="0" algn="ctr"/>
                <a:t>Licencia</a:t>
              </a:fld>
              <a:endParaRPr lang="es-ES" sz="1200" b="0" i="0" u="none" strike="noStrike">
                <a:solidFill>
                  <a:schemeClr val="bg1"/>
                </a:solidFill>
                <a:latin typeface="Calibri"/>
                <a:ea typeface="+mn-ea"/>
                <a:cs typeface="Calibri"/>
              </a:endParaRPr>
            </a:p>
          </xdr:txBody>
        </xdr:sp>
        <xdr:sp macro="" textlink="Traduccion!B22">
          <xdr:nvSpPr>
            <xdr:cNvPr id="41" name="CuadroTexto 40">
              <a:hlinkClick xmlns:r="http://schemas.openxmlformats.org/officeDocument/2006/relationships" r:id="rId12"/>
            </xdr:cNvPr>
            <xdr:cNvSpPr txBox="1"/>
          </xdr:nvSpPr>
          <xdr:spPr>
            <a:xfrm>
              <a:off x="6362701"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EDFA6F8-4D8A-4236-9C3C-35E4585A6021}" type="TxLink">
                <a:rPr lang="en-US" sz="1200" b="0" i="0" u="none" strike="noStrike">
                  <a:solidFill>
                    <a:schemeClr val="bg1"/>
                  </a:solidFill>
                  <a:latin typeface="Calibri"/>
                  <a:ea typeface="+mn-ea"/>
                  <a:cs typeface="Calibri"/>
                </a:rPr>
                <a:pPr marL="0" indent="0" algn="ctr"/>
                <a:t>Grupos</a:t>
              </a:fld>
              <a:endParaRPr lang="es-ES" sz="1200" b="0" i="0" u="none" strike="noStrike">
                <a:solidFill>
                  <a:schemeClr val="bg1"/>
                </a:solidFill>
                <a:latin typeface="Calibri"/>
                <a:ea typeface="+mn-ea"/>
                <a:cs typeface="Calibri"/>
              </a:endParaRPr>
            </a:p>
          </xdr:txBody>
        </xdr:sp>
      </xdr:grpSp>
      <xdr:pic>
        <xdr:nvPicPr>
          <xdr:cNvPr id="32" name="Imagen 31" descr="http://gsamartin.es/imagenes/icons/logo-pos.png">
            <a:hlinkClick xmlns:r="http://schemas.openxmlformats.org/officeDocument/2006/relationships" r:id="rId10"/>
          </xdr:cNvPr>
          <xdr:cNvPicPr>
            <a:picLocks noChangeAspect="1" noChangeArrowheads="1"/>
          </xdr:cNvPicPr>
        </xdr:nvPicPr>
        <xdr:blipFill>
          <a:blip xmlns:r="http://schemas.openxmlformats.org/officeDocument/2006/relationships" r:embed="rId13">
            <a:extLst>
              <a:ext uri="{BEBA8EAE-BF5A-486C-A8C5-ECC9F3942E4B}">
                <a14:imgProps xmlns:a14="http://schemas.microsoft.com/office/drawing/2010/main">
                  <a14:imgLayer r:embed="rId14">
                    <a14:imgEffect>
                      <a14:saturation sat="66000"/>
                    </a14:imgEffect>
                    <a14:imgEffect>
                      <a14:brightnessContrast bright="-6000"/>
                    </a14:imgEffect>
                  </a14:imgLayer>
                </a14:imgProps>
              </a:ext>
              <a:ext uri="{28A0092B-C50C-407E-A947-70E740481C1C}">
                <a14:useLocalDpi xmlns:a14="http://schemas.microsoft.com/office/drawing/2010/main" val="0"/>
              </a:ext>
            </a:extLst>
          </a:blip>
          <a:srcRect/>
          <a:stretch>
            <a:fillRect/>
          </a:stretch>
        </xdr:blipFill>
        <xdr:spPr bwMode="auto">
          <a:xfrm>
            <a:off x="7591425" y="0"/>
            <a:ext cx="1400175" cy="14001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28574</xdr:colOff>
          <xdr:row>4</xdr:row>
          <xdr:rowOff>19049</xdr:rowOff>
        </xdr:from>
        <xdr:to>
          <xdr:col>4</xdr:col>
          <xdr:colOff>19050</xdr:colOff>
          <xdr:row>11</xdr:row>
          <xdr:rowOff>18431</xdr:rowOff>
        </xdr:to>
        <xdr:pic>
          <xdr:nvPicPr>
            <xdr:cNvPr id="2" name="Imagen 1" descr="Bandera de Francia"/>
            <xdr:cNvPicPr>
              <a:picLocks noChangeAspect="1" noChangeArrowheads="1"/>
              <a:extLst>
                <a:ext uri="{84589F7E-364E-4C9E-8A38-B11213B215E9}">
                  <a14:cameraTool cellRange="bandera" spid="_x0000_s15453"/>
                </a:ext>
              </a:extLst>
            </xdr:cNvPicPr>
          </xdr:nvPicPr>
          <xdr:blipFill>
            <a:blip xmlns:r="http://schemas.openxmlformats.org/officeDocument/2006/relationships" r:embed="rId1"/>
            <a:srcRect/>
            <a:stretch>
              <a:fillRect/>
            </a:stretch>
          </xdr:blipFill>
          <xdr:spPr bwMode="auto">
            <a:xfrm>
              <a:off x="247649" y="1904999"/>
              <a:ext cx="2276476" cy="1513857"/>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editAs="oneCell">
    <xdr:from>
      <xdr:col>1</xdr:col>
      <xdr:colOff>0</xdr:colOff>
      <xdr:row>0</xdr:row>
      <xdr:rowOff>0</xdr:rowOff>
    </xdr:from>
    <xdr:to>
      <xdr:col>17</xdr:col>
      <xdr:colOff>57150</xdr:colOff>
      <xdr:row>1</xdr:row>
      <xdr:rowOff>9525</xdr:rowOff>
    </xdr:to>
    <xdr:grpSp>
      <xdr:nvGrpSpPr>
        <xdr:cNvPr id="16" name="Grupo 15"/>
        <xdr:cNvGrpSpPr/>
      </xdr:nvGrpSpPr>
      <xdr:grpSpPr>
        <a:xfrm>
          <a:off x="219075" y="0"/>
          <a:ext cx="8763000" cy="1400175"/>
          <a:chOff x="219076" y="0"/>
          <a:chExt cx="8772524" cy="1400175"/>
        </a:xfrm>
      </xdr:grpSpPr>
      <xdr:pic>
        <xdr:nvPicPr>
          <xdr:cNvPr id="17" name="Imagen 16">
            <a:hlinkClick xmlns:r="http://schemas.openxmlformats.org/officeDocument/2006/relationships" r:id="rId2"/>
          </xdr:cNvPr>
          <xdr:cNvPicPr>
            <a:picLocks noChangeAspect="1"/>
          </xdr:cNvPicPr>
        </xdr:nvPicPr>
        <xdr:blipFill rotWithShape="1">
          <a:blip xmlns:r="http://schemas.openxmlformats.org/officeDocument/2006/relationships" r:embed="rId3">
            <a:clrChange>
              <a:clrFrom>
                <a:srgbClr val="FFFFFF"/>
              </a:clrFrom>
              <a:clrTo>
                <a:srgbClr val="FFFFFF">
                  <a:alpha val="0"/>
                </a:srgbClr>
              </a:clrTo>
            </a:clrChange>
          </a:blip>
          <a:srcRect l="24991" t="10054" r="27732" b="25264"/>
          <a:stretch/>
        </xdr:blipFill>
        <xdr:spPr>
          <a:xfrm>
            <a:off x="219076" y="19050"/>
            <a:ext cx="1182061" cy="1352550"/>
          </a:xfrm>
          <a:prstGeom prst="rect">
            <a:avLst/>
          </a:prstGeom>
          <a:ln>
            <a:noFill/>
          </a:ln>
        </xdr:spPr>
      </xdr:pic>
      <xdr:grpSp>
        <xdr:nvGrpSpPr>
          <xdr:cNvPr id="18" name="Grupo 17"/>
          <xdr:cNvGrpSpPr/>
        </xdr:nvGrpSpPr>
        <xdr:grpSpPr>
          <a:xfrm>
            <a:off x="1466849" y="28575"/>
            <a:ext cx="6134102" cy="1304925"/>
            <a:chOff x="1428749" y="28575"/>
            <a:chExt cx="6134102" cy="1304925"/>
          </a:xfrm>
        </xdr:grpSpPr>
        <xdr:sp macro="" textlink="Traduccion!B4">
          <xdr:nvSpPr>
            <xdr:cNvPr id="20" name="CuadroTexto 19">
              <a:hlinkClick xmlns:r="http://schemas.openxmlformats.org/officeDocument/2006/relationships" r:id="rId4"/>
            </xdr:cNvPr>
            <xdr:cNvSpPr txBox="1"/>
          </xdr:nvSpPr>
          <xdr:spPr>
            <a:xfrm>
              <a:off x="1428749" y="28575"/>
              <a:ext cx="6134101" cy="447675"/>
            </a:xfrm>
            <a:prstGeom prst="rect">
              <a:avLst/>
            </a:prstGeom>
            <a:solidFill>
              <a:srgbClr val="0070C0"/>
            </a:solidFill>
            <a:ln w="9525" cmpd="sng">
              <a:solidFill>
                <a:schemeClr val="lt1">
                  <a:shade val="50000"/>
                </a:schemeClr>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00586B9-E36E-455B-845E-34BE7244E237}" type="TxLink">
                <a:rPr lang="en-US" sz="1800" b="0" i="0" u="none" strike="noStrike">
                  <a:solidFill>
                    <a:schemeClr val="bg1"/>
                  </a:solidFill>
                  <a:latin typeface="Calibri"/>
                  <a:cs typeface="Calibri"/>
                </a:rPr>
                <a:pPr algn="ctr"/>
                <a:t>Copa del Mundo - Rusia 2018</a:t>
              </a:fld>
              <a:endParaRPr lang="es-ES" sz="1800">
                <a:solidFill>
                  <a:schemeClr val="bg1"/>
                </a:solidFill>
              </a:endParaRPr>
            </a:p>
          </xdr:txBody>
        </xdr:sp>
        <xdr:sp macro="" textlink="Traduccion!B18">
          <xdr:nvSpPr>
            <xdr:cNvPr id="21" name="CuadroTexto 20">
              <a:hlinkClick xmlns:r="http://schemas.openxmlformats.org/officeDocument/2006/relationships" r:id="rId5"/>
            </xdr:cNvPr>
            <xdr:cNvSpPr txBox="1"/>
          </xdr:nvSpPr>
          <xdr:spPr>
            <a:xfrm>
              <a:off x="1428751"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540ABAFA-C5A7-4981-810D-74A687BCD5FA}" type="TxLink">
                <a:rPr lang="en-US" sz="1200" b="0" i="0" u="none" strike="noStrike">
                  <a:solidFill>
                    <a:schemeClr val="bg1"/>
                  </a:solidFill>
                  <a:latin typeface="Calibri"/>
                  <a:ea typeface="+mn-ea"/>
                  <a:cs typeface="Calibri"/>
                </a:rPr>
                <a:pPr marL="0" indent="0" algn="ctr"/>
                <a:t>Fase de Grupos</a:t>
              </a:fld>
              <a:endParaRPr lang="es-ES" sz="1200" b="0" i="0" u="none" strike="noStrike">
                <a:solidFill>
                  <a:schemeClr val="bg1"/>
                </a:solidFill>
                <a:latin typeface="Calibri"/>
                <a:ea typeface="+mn-ea"/>
                <a:cs typeface="Calibri"/>
              </a:endParaRPr>
            </a:p>
          </xdr:txBody>
        </xdr:sp>
        <xdr:sp macro="" textlink="Traduccion!B19">
          <xdr:nvSpPr>
            <xdr:cNvPr id="22" name="CuadroTexto 21">
              <a:hlinkClick xmlns:r="http://schemas.openxmlformats.org/officeDocument/2006/relationships" r:id="rId6"/>
            </xdr:cNvPr>
            <xdr:cNvSpPr txBox="1"/>
          </xdr:nvSpPr>
          <xdr:spPr>
            <a:xfrm>
              <a:off x="2667001"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4B5DB28-3600-4930-9101-C892C76D753F}" type="TxLink">
                <a:rPr lang="en-US" sz="1200" b="0" i="0" u="none" strike="noStrike">
                  <a:solidFill>
                    <a:schemeClr val="bg1"/>
                  </a:solidFill>
                  <a:latin typeface="Calibri"/>
                  <a:ea typeface="+mn-ea"/>
                  <a:cs typeface="Calibri"/>
                </a:rPr>
                <a:pPr marL="0" indent="0" algn="ctr"/>
                <a:t>Fase Final</a:t>
              </a:fld>
              <a:endParaRPr lang="es-ES" sz="1200" b="0" i="0" u="none" strike="noStrike">
                <a:solidFill>
                  <a:schemeClr val="bg1"/>
                </a:solidFill>
                <a:latin typeface="Calibri"/>
                <a:ea typeface="+mn-ea"/>
                <a:cs typeface="Calibri"/>
              </a:endParaRPr>
            </a:p>
          </xdr:txBody>
        </xdr:sp>
        <xdr:sp macro="" textlink="Traduccion!B20">
          <xdr:nvSpPr>
            <xdr:cNvPr id="23" name="CuadroTexto 22">
              <a:hlinkClick xmlns:r="http://schemas.openxmlformats.org/officeDocument/2006/relationships" r:id="rId7"/>
            </xdr:cNvPr>
            <xdr:cNvSpPr txBox="1"/>
          </xdr:nvSpPr>
          <xdr:spPr>
            <a:xfrm>
              <a:off x="3895726"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4794497C-11F8-43A7-9EF5-691A402D5F49}" type="TxLink">
                <a:rPr lang="en-US" sz="900" b="0" i="0" u="none" strike="noStrike">
                  <a:solidFill>
                    <a:schemeClr val="bg1"/>
                  </a:solidFill>
                  <a:latin typeface="Calibri"/>
                  <a:ea typeface="+mn-ea"/>
                  <a:cs typeface="Calibri"/>
                </a:rPr>
                <a:pPr marL="0" indent="0" algn="ctr"/>
                <a:t>Selección a Selección</a:t>
              </a:fld>
              <a:endParaRPr lang="es-ES" sz="900" b="0" i="0" u="none" strike="noStrike">
                <a:solidFill>
                  <a:schemeClr val="bg1"/>
                </a:solidFill>
                <a:latin typeface="Calibri"/>
                <a:ea typeface="+mn-ea"/>
                <a:cs typeface="Calibri"/>
              </a:endParaRPr>
            </a:p>
          </xdr:txBody>
        </xdr:sp>
        <xdr:sp macro="" textlink="Traduccion!B21">
          <xdr:nvSpPr>
            <xdr:cNvPr id="24" name="CuadroTexto 23">
              <a:hlinkClick xmlns:r="http://schemas.openxmlformats.org/officeDocument/2006/relationships" r:id="rId8"/>
            </xdr:cNvPr>
            <xdr:cNvSpPr txBox="1"/>
          </xdr:nvSpPr>
          <xdr:spPr>
            <a:xfrm>
              <a:off x="5133976"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A82BD95-35CD-41F2-8196-3EA9C170A195}" type="TxLink">
                <a:rPr lang="en-US" sz="1200" b="0" i="0" u="none" strike="noStrike">
                  <a:solidFill>
                    <a:schemeClr val="bg1"/>
                  </a:solidFill>
                  <a:latin typeface="Calibri"/>
                  <a:ea typeface="+mn-ea"/>
                  <a:cs typeface="Calibri"/>
                </a:rPr>
                <a:pPr marL="0" indent="0" algn="ctr"/>
                <a:t>Sedes</a:t>
              </a:fld>
              <a:endParaRPr lang="es-ES" sz="1200" b="0" i="0" u="none" strike="noStrike">
                <a:solidFill>
                  <a:schemeClr val="bg1"/>
                </a:solidFill>
                <a:latin typeface="Calibri"/>
                <a:ea typeface="+mn-ea"/>
                <a:cs typeface="Calibri"/>
              </a:endParaRPr>
            </a:p>
          </xdr:txBody>
        </xdr:sp>
        <xdr:sp macro="" textlink="Traduccion!B23">
          <xdr:nvSpPr>
            <xdr:cNvPr id="25" name="CuadroTexto 24">
              <a:hlinkClick xmlns:r="http://schemas.openxmlformats.org/officeDocument/2006/relationships" r:id="rId9"/>
            </xdr:cNvPr>
            <xdr:cNvSpPr txBox="1"/>
          </xdr:nvSpPr>
          <xdr:spPr>
            <a:xfrm>
              <a:off x="1428750" y="914400"/>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0CCBAB4-25AA-45CF-A9C4-4E6E8227DFA8}" type="TxLink">
                <a:rPr lang="en-US" sz="1200" b="0" i="0" u="none" strike="noStrike">
                  <a:solidFill>
                    <a:schemeClr val="bg1"/>
                  </a:solidFill>
                  <a:latin typeface="Calibri"/>
                  <a:ea typeface="+mn-ea"/>
                  <a:cs typeface="Calibri"/>
                </a:rPr>
                <a:pPr marL="0" indent="0" algn="ctr"/>
                <a:t>Versión</a:t>
              </a:fld>
              <a:endParaRPr lang="es-ES" sz="1200" b="0" i="0" u="none" strike="noStrike">
                <a:solidFill>
                  <a:schemeClr val="bg1"/>
                </a:solidFill>
                <a:latin typeface="Calibri"/>
                <a:ea typeface="+mn-ea"/>
                <a:cs typeface="Calibri"/>
              </a:endParaRPr>
            </a:p>
          </xdr:txBody>
        </xdr:sp>
        <xdr:sp macro="" textlink="">
          <xdr:nvSpPr>
            <xdr:cNvPr id="26" name="CuadroTexto 25">
              <a:hlinkClick xmlns:r="http://schemas.openxmlformats.org/officeDocument/2006/relationships" r:id="rId10"/>
            </xdr:cNvPr>
            <xdr:cNvSpPr txBox="1"/>
          </xdr:nvSpPr>
          <xdr:spPr>
            <a:xfrm>
              <a:off x="2676524" y="962025"/>
              <a:ext cx="3648075" cy="371475"/>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i="0" u="none" strike="noStrike">
                  <a:solidFill>
                    <a:srgbClr val="0070C0"/>
                  </a:solidFill>
                  <a:latin typeface="Calibri"/>
                  <a:cs typeface="Calibri"/>
                </a:rPr>
                <a:t>Jorge García Samartín - www.gsamartin.es</a:t>
              </a:r>
            </a:p>
          </xdr:txBody>
        </xdr:sp>
        <xdr:sp macro="" textlink="Traduccion!B24">
          <xdr:nvSpPr>
            <xdr:cNvPr id="27" name="CuadroTexto 26">
              <a:hlinkClick xmlns:r="http://schemas.openxmlformats.org/officeDocument/2006/relationships" r:id="rId11"/>
            </xdr:cNvPr>
            <xdr:cNvSpPr txBox="1"/>
          </xdr:nvSpPr>
          <xdr:spPr>
            <a:xfrm>
              <a:off x="6362701" y="914400"/>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D189665-E935-4023-9F74-2ED6AD7817D5}" type="TxLink">
                <a:rPr lang="en-US" sz="1200" b="0" i="0" u="none" strike="noStrike">
                  <a:solidFill>
                    <a:schemeClr val="bg1"/>
                  </a:solidFill>
                  <a:latin typeface="Calibri"/>
                  <a:ea typeface="+mn-ea"/>
                  <a:cs typeface="Calibri"/>
                </a:rPr>
                <a:pPr marL="0" indent="0" algn="ctr"/>
                <a:t>Licencia</a:t>
              </a:fld>
              <a:endParaRPr lang="es-ES" sz="1200" b="0" i="0" u="none" strike="noStrike">
                <a:solidFill>
                  <a:schemeClr val="bg1"/>
                </a:solidFill>
                <a:latin typeface="Calibri"/>
                <a:ea typeface="+mn-ea"/>
                <a:cs typeface="Calibri"/>
              </a:endParaRPr>
            </a:p>
          </xdr:txBody>
        </xdr:sp>
        <xdr:sp macro="" textlink="Traduccion!B22">
          <xdr:nvSpPr>
            <xdr:cNvPr id="28" name="CuadroTexto 27">
              <a:hlinkClick xmlns:r="http://schemas.openxmlformats.org/officeDocument/2006/relationships" r:id="rId12"/>
            </xdr:cNvPr>
            <xdr:cNvSpPr txBox="1"/>
          </xdr:nvSpPr>
          <xdr:spPr>
            <a:xfrm>
              <a:off x="6362701"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EDFA6F8-4D8A-4236-9C3C-35E4585A6021}" type="TxLink">
                <a:rPr lang="en-US" sz="1200" b="0" i="0" u="none" strike="noStrike">
                  <a:solidFill>
                    <a:schemeClr val="bg1"/>
                  </a:solidFill>
                  <a:latin typeface="Calibri"/>
                  <a:ea typeface="+mn-ea"/>
                  <a:cs typeface="Calibri"/>
                </a:rPr>
                <a:pPr marL="0" indent="0" algn="ctr"/>
                <a:t>Grupos</a:t>
              </a:fld>
              <a:endParaRPr lang="es-ES" sz="1200" b="0" i="0" u="none" strike="noStrike">
                <a:solidFill>
                  <a:schemeClr val="bg1"/>
                </a:solidFill>
                <a:latin typeface="Calibri"/>
                <a:ea typeface="+mn-ea"/>
                <a:cs typeface="Calibri"/>
              </a:endParaRPr>
            </a:p>
          </xdr:txBody>
        </xdr:sp>
      </xdr:grpSp>
      <xdr:pic>
        <xdr:nvPicPr>
          <xdr:cNvPr id="19" name="Imagen 18" descr="http://gsamartin.es/imagenes/icons/logo-pos.png">
            <a:hlinkClick xmlns:r="http://schemas.openxmlformats.org/officeDocument/2006/relationships" r:id="rId10"/>
          </xdr:cNvPr>
          <xdr:cNvPicPr>
            <a:picLocks noChangeAspect="1" noChangeArrowheads="1"/>
          </xdr:cNvPicPr>
        </xdr:nvPicPr>
        <xdr:blipFill>
          <a:blip xmlns:r="http://schemas.openxmlformats.org/officeDocument/2006/relationships" r:embed="rId13">
            <a:extLst>
              <a:ext uri="{BEBA8EAE-BF5A-486C-A8C5-ECC9F3942E4B}">
                <a14:imgProps xmlns:a14="http://schemas.microsoft.com/office/drawing/2010/main">
                  <a14:imgLayer r:embed="rId14">
                    <a14:imgEffect>
                      <a14:saturation sat="66000"/>
                    </a14:imgEffect>
                    <a14:imgEffect>
                      <a14:brightnessContrast bright="-6000"/>
                    </a14:imgEffect>
                  </a14:imgLayer>
                </a14:imgProps>
              </a:ext>
              <a:ext uri="{28A0092B-C50C-407E-A947-70E740481C1C}">
                <a14:useLocalDpi xmlns:a14="http://schemas.microsoft.com/office/drawing/2010/main" val="0"/>
              </a:ext>
            </a:extLst>
          </a:blip>
          <a:srcRect/>
          <a:stretch>
            <a:fillRect/>
          </a:stretch>
        </xdr:blipFill>
        <xdr:spPr bwMode="auto">
          <a:xfrm>
            <a:off x="7591425" y="0"/>
            <a:ext cx="1400175" cy="14001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xdr:colOff>
          <xdr:row>7</xdr:row>
          <xdr:rowOff>38099</xdr:rowOff>
        </xdr:from>
        <xdr:to>
          <xdr:col>16</xdr:col>
          <xdr:colOff>19050</xdr:colOff>
          <xdr:row>13</xdr:row>
          <xdr:rowOff>47624</xdr:rowOff>
        </xdr:to>
        <xdr:pic>
          <xdr:nvPicPr>
            <xdr:cNvPr id="2" name="Imagen 1" descr="Moscow-Exterior of Luzhniki Stadium (2).jpg"/>
            <xdr:cNvPicPr>
              <a:picLocks noChangeAspect="1" noChangeArrowheads="1"/>
              <a:extLst>
                <a:ext uri="{84589F7E-364E-4C9E-8A38-B11213B215E9}">
                  <a14:cameraTool cellRange="estadio_foto" spid="_x0000_s16471"/>
                </a:ext>
              </a:extLst>
            </xdr:cNvPicPr>
          </xdr:nvPicPr>
          <xdr:blipFill>
            <a:blip xmlns:r="http://schemas.openxmlformats.org/officeDocument/2006/relationships" r:embed="rId1"/>
            <a:srcRect/>
            <a:stretch>
              <a:fillRect/>
            </a:stretch>
          </xdr:blipFill>
          <xdr:spPr bwMode="auto">
            <a:xfrm>
              <a:off x="1876425" y="2552699"/>
              <a:ext cx="5276850" cy="28860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5</xdr:col>
      <xdr:colOff>0</xdr:colOff>
      <xdr:row>0</xdr:row>
      <xdr:rowOff>0</xdr:rowOff>
    </xdr:from>
    <xdr:to>
      <xdr:col>16</xdr:col>
      <xdr:colOff>1847850</xdr:colOff>
      <xdr:row>1</xdr:row>
      <xdr:rowOff>9525</xdr:rowOff>
    </xdr:to>
    <xdr:grpSp>
      <xdr:nvGrpSpPr>
        <xdr:cNvPr id="42" name="Grupo 41"/>
        <xdr:cNvGrpSpPr/>
      </xdr:nvGrpSpPr>
      <xdr:grpSpPr>
        <a:xfrm>
          <a:off x="219075" y="0"/>
          <a:ext cx="8763000" cy="1400175"/>
          <a:chOff x="219076" y="0"/>
          <a:chExt cx="8772524" cy="1400175"/>
        </a:xfrm>
      </xdr:grpSpPr>
      <xdr:pic>
        <xdr:nvPicPr>
          <xdr:cNvPr id="43" name="Imagen 42">
            <a:hlinkClick xmlns:r="http://schemas.openxmlformats.org/officeDocument/2006/relationships" r:id="rId2"/>
          </xdr:cNvPr>
          <xdr:cNvPicPr>
            <a:picLocks noChangeAspect="1"/>
          </xdr:cNvPicPr>
        </xdr:nvPicPr>
        <xdr:blipFill rotWithShape="1">
          <a:blip xmlns:r="http://schemas.openxmlformats.org/officeDocument/2006/relationships" r:embed="rId3">
            <a:clrChange>
              <a:clrFrom>
                <a:srgbClr val="FFFFFF"/>
              </a:clrFrom>
              <a:clrTo>
                <a:srgbClr val="FFFFFF">
                  <a:alpha val="0"/>
                </a:srgbClr>
              </a:clrTo>
            </a:clrChange>
          </a:blip>
          <a:srcRect l="24991" t="10054" r="27732" b="25264"/>
          <a:stretch/>
        </xdr:blipFill>
        <xdr:spPr>
          <a:xfrm>
            <a:off x="219076" y="19050"/>
            <a:ext cx="1182061" cy="1352550"/>
          </a:xfrm>
          <a:prstGeom prst="rect">
            <a:avLst/>
          </a:prstGeom>
          <a:ln>
            <a:noFill/>
          </a:ln>
        </xdr:spPr>
      </xdr:pic>
      <xdr:grpSp>
        <xdr:nvGrpSpPr>
          <xdr:cNvPr id="44" name="Grupo 43"/>
          <xdr:cNvGrpSpPr/>
        </xdr:nvGrpSpPr>
        <xdr:grpSpPr>
          <a:xfrm>
            <a:off x="1466849" y="28575"/>
            <a:ext cx="6134102" cy="1304925"/>
            <a:chOff x="1428749" y="28575"/>
            <a:chExt cx="6134102" cy="1304925"/>
          </a:xfrm>
        </xdr:grpSpPr>
        <xdr:sp macro="" textlink="Traduccion!B4">
          <xdr:nvSpPr>
            <xdr:cNvPr id="46" name="CuadroTexto 45">
              <a:hlinkClick xmlns:r="http://schemas.openxmlformats.org/officeDocument/2006/relationships" r:id="rId4"/>
            </xdr:cNvPr>
            <xdr:cNvSpPr txBox="1"/>
          </xdr:nvSpPr>
          <xdr:spPr>
            <a:xfrm>
              <a:off x="1428749" y="28575"/>
              <a:ext cx="6134101" cy="447675"/>
            </a:xfrm>
            <a:prstGeom prst="rect">
              <a:avLst/>
            </a:prstGeom>
            <a:solidFill>
              <a:srgbClr val="0070C0"/>
            </a:solidFill>
            <a:ln w="9525" cmpd="sng">
              <a:solidFill>
                <a:schemeClr val="lt1">
                  <a:shade val="50000"/>
                </a:schemeClr>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00586B9-E36E-455B-845E-34BE7244E237}" type="TxLink">
                <a:rPr lang="en-US" sz="1800" b="0" i="0" u="none" strike="noStrike">
                  <a:solidFill>
                    <a:schemeClr val="bg1"/>
                  </a:solidFill>
                  <a:latin typeface="Calibri"/>
                  <a:cs typeface="Calibri"/>
                </a:rPr>
                <a:pPr algn="ctr"/>
                <a:t>Copa del Mundo - Rusia 2018</a:t>
              </a:fld>
              <a:endParaRPr lang="es-ES" sz="1800">
                <a:solidFill>
                  <a:schemeClr val="bg1"/>
                </a:solidFill>
              </a:endParaRPr>
            </a:p>
          </xdr:txBody>
        </xdr:sp>
        <xdr:sp macro="" textlink="Traduccion!B18">
          <xdr:nvSpPr>
            <xdr:cNvPr id="47" name="CuadroTexto 46">
              <a:hlinkClick xmlns:r="http://schemas.openxmlformats.org/officeDocument/2006/relationships" r:id="rId5"/>
            </xdr:cNvPr>
            <xdr:cNvSpPr txBox="1"/>
          </xdr:nvSpPr>
          <xdr:spPr>
            <a:xfrm>
              <a:off x="1428751"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540ABAFA-C5A7-4981-810D-74A687BCD5FA}" type="TxLink">
                <a:rPr lang="en-US" sz="1200" b="0" i="0" u="none" strike="noStrike">
                  <a:solidFill>
                    <a:schemeClr val="bg1"/>
                  </a:solidFill>
                  <a:latin typeface="Calibri"/>
                  <a:ea typeface="+mn-ea"/>
                  <a:cs typeface="Calibri"/>
                </a:rPr>
                <a:pPr marL="0" indent="0" algn="ctr"/>
                <a:t>Fase de Grupos</a:t>
              </a:fld>
              <a:endParaRPr lang="es-ES" sz="1200" b="0" i="0" u="none" strike="noStrike">
                <a:solidFill>
                  <a:schemeClr val="bg1"/>
                </a:solidFill>
                <a:latin typeface="Calibri"/>
                <a:ea typeface="+mn-ea"/>
                <a:cs typeface="Calibri"/>
              </a:endParaRPr>
            </a:p>
          </xdr:txBody>
        </xdr:sp>
        <xdr:sp macro="" textlink="Traduccion!B19">
          <xdr:nvSpPr>
            <xdr:cNvPr id="48" name="CuadroTexto 47">
              <a:hlinkClick xmlns:r="http://schemas.openxmlformats.org/officeDocument/2006/relationships" r:id="rId6"/>
            </xdr:cNvPr>
            <xdr:cNvSpPr txBox="1"/>
          </xdr:nvSpPr>
          <xdr:spPr>
            <a:xfrm>
              <a:off x="2667001"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4B5DB28-3600-4930-9101-C892C76D753F}" type="TxLink">
                <a:rPr lang="en-US" sz="1200" b="0" i="0" u="none" strike="noStrike">
                  <a:solidFill>
                    <a:schemeClr val="bg1"/>
                  </a:solidFill>
                  <a:latin typeface="Calibri"/>
                  <a:ea typeface="+mn-ea"/>
                  <a:cs typeface="Calibri"/>
                </a:rPr>
                <a:pPr marL="0" indent="0" algn="ctr"/>
                <a:t>Fase Final</a:t>
              </a:fld>
              <a:endParaRPr lang="es-ES" sz="1200" b="0" i="0" u="none" strike="noStrike">
                <a:solidFill>
                  <a:schemeClr val="bg1"/>
                </a:solidFill>
                <a:latin typeface="Calibri"/>
                <a:ea typeface="+mn-ea"/>
                <a:cs typeface="Calibri"/>
              </a:endParaRPr>
            </a:p>
          </xdr:txBody>
        </xdr:sp>
        <xdr:sp macro="" textlink="Traduccion!B20">
          <xdr:nvSpPr>
            <xdr:cNvPr id="49" name="CuadroTexto 48">
              <a:hlinkClick xmlns:r="http://schemas.openxmlformats.org/officeDocument/2006/relationships" r:id="rId7"/>
            </xdr:cNvPr>
            <xdr:cNvSpPr txBox="1"/>
          </xdr:nvSpPr>
          <xdr:spPr>
            <a:xfrm>
              <a:off x="3895726"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4794497C-11F8-43A7-9EF5-691A402D5F49}" type="TxLink">
                <a:rPr lang="en-US" sz="900" b="0" i="0" u="none" strike="noStrike">
                  <a:solidFill>
                    <a:schemeClr val="bg1"/>
                  </a:solidFill>
                  <a:latin typeface="Calibri"/>
                  <a:ea typeface="+mn-ea"/>
                  <a:cs typeface="Calibri"/>
                </a:rPr>
                <a:pPr marL="0" indent="0" algn="ctr"/>
                <a:t>Selección a Selección</a:t>
              </a:fld>
              <a:endParaRPr lang="es-ES" sz="900" b="0" i="0" u="none" strike="noStrike">
                <a:solidFill>
                  <a:schemeClr val="bg1"/>
                </a:solidFill>
                <a:latin typeface="Calibri"/>
                <a:ea typeface="+mn-ea"/>
                <a:cs typeface="Calibri"/>
              </a:endParaRPr>
            </a:p>
          </xdr:txBody>
        </xdr:sp>
        <xdr:sp macro="" textlink="Traduccion!B21">
          <xdr:nvSpPr>
            <xdr:cNvPr id="50" name="CuadroTexto 49">
              <a:hlinkClick xmlns:r="http://schemas.openxmlformats.org/officeDocument/2006/relationships" r:id="rId8"/>
            </xdr:cNvPr>
            <xdr:cNvSpPr txBox="1"/>
          </xdr:nvSpPr>
          <xdr:spPr>
            <a:xfrm>
              <a:off x="5133976"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A82BD95-35CD-41F2-8196-3EA9C170A195}" type="TxLink">
                <a:rPr lang="en-US" sz="1200" b="0" i="0" u="none" strike="noStrike">
                  <a:solidFill>
                    <a:schemeClr val="bg1"/>
                  </a:solidFill>
                  <a:latin typeface="Calibri"/>
                  <a:ea typeface="+mn-ea"/>
                  <a:cs typeface="Calibri"/>
                </a:rPr>
                <a:pPr marL="0" indent="0" algn="ctr"/>
                <a:t>Sedes</a:t>
              </a:fld>
              <a:endParaRPr lang="es-ES" sz="1200" b="0" i="0" u="none" strike="noStrike">
                <a:solidFill>
                  <a:schemeClr val="bg1"/>
                </a:solidFill>
                <a:latin typeface="Calibri"/>
                <a:ea typeface="+mn-ea"/>
                <a:cs typeface="Calibri"/>
              </a:endParaRPr>
            </a:p>
          </xdr:txBody>
        </xdr:sp>
        <xdr:sp macro="" textlink="Traduccion!B23">
          <xdr:nvSpPr>
            <xdr:cNvPr id="51" name="CuadroTexto 50">
              <a:hlinkClick xmlns:r="http://schemas.openxmlformats.org/officeDocument/2006/relationships" r:id="rId9"/>
            </xdr:cNvPr>
            <xdr:cNvSpPr txBox="1"/>
          </xdr:nvSpPr>
          <xdr:spPr>
            <a:xfrm>
              <a:off x="1428750" y="914400"/>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0CCBAB4-25AA-45CF-A9C4-4E6E8227DFA8}" type="TxLink">
                <a:rPr lang="en-US" sz="1200" b="0" i="0" u="none" strike="noStrike">
                  <a:solidFill>
                    <a:schemeClr val="bg1"/>
                  </a:solidFill>
                  <a:latin typeface="Calibri"/>
                  <a:ea typeface="+mn-ea"/>
                  <a:cs typeface="Calibri"/>
                </a:rPr>
                <a:pPr marL="0" indent="0" algn="ctr"/>
                <a:t>Versión</a:t>
              </a:fld>
              <a:endParaRPr lang="es-ES" sz="1200" b="0" i="0" u="none" strike="noStrike">
                <a:solidFill>
                  <a:schemeClr val="bg1"/>
                </a:solidFill>
                <a:latin typeface="Calibri"/>
                <a:ea typeface="+mn-ea"/>
                <a:cs typeface="Calibri"/>
              </a:endParaRPr>
            </a:p>
          </xdr:txBody>
        </xdr:sp>
        <xdr:sp macro="" textlink="">
          <xdr:nvSpPr>
            <xdr:cNvPr id="52" name="CuadroTexto 51">
              <a:hlinkClick xmlns:r="http://schemas.openxmlformats.org/officeDocument/2006/relationships" r:id="rId10"/>
            </xdr:cNvPr>
            <xdr:cNvSpPr txBox="1"/>
          </xdr:nvSpPr>
          <xdr:spPr>
            <a:xfrm>
              <a:off x="2676524" y="962025"/>
              <a:ext cx="3648075" cy="371475"/>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i="0" u="none" strike="noStrike">
                  <a:solidFill>
                    <a:srgbClr val="0070C0"/>
                  </a:solidFill>
                  <a:latin typeface="Calibri"/>
                  <a:cs typeface="Calibri"/>
                </a:rPr>
                <a:t>Jorge García Samartín - www.gsamartin.es</a:t>
              </a:r>
            </a:p>
          </xdr:txBody>
        </xdr:sp>
        <xdr:sp macro="" textlink="Traduccion!B24">
          <xdr:nvSpPr>
            <xdr:cNvPr id="53" name="CuadroTexto 52">
              <a:hlinkClick xmlns:r="http://schemas.openxmlformats.org/officeDocument/2006/relationships" r:id="rId11"/>
            </xdr:cNvPr>
            <xdr:cNvSpPr txBox="1"/>
          </xdr:nvSpPr>
          <xdr:spPr>
            <a:xfrm>
              <a:off x="6362701" y="914400"/>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D189665-E935-4023-9F74-2ED6AD7817D5}" type="TxLink">
                <a:rPr lang="en-US" sz="1200" b="0" i="0" u="none" strike="noStrike">
                  <a:solidFill>
                    <a:schemeClr val="bg1"/>
                  </a:solidFill>
                  <a:latin typeface="Calibri"/>
                  <a:ea typeface="+mn-ea"/>
                  <a:cs typeface="Calibri"/>
                </a:rPr>
                <a:pPr marL="0" indent="0" algn="ctr"/>
                <a:t>Licencia</a:t>
              </a:fld>
              <a:endParaRPr lang="es-ES" sz="1200" b="0" i="0" u="none" strike="noStrike">
                <a:solidFill>
                  <a:schemeClr val="bg1"/>
                </a:solidFill>
                <a:latin typeface="Calibri"/>
                <a:ea typeface="+mn-ea"/>
                <a:cs typeface="Calibri"/>
              </a:endParaRPr>
            </a:p>
          </xdr:txBody>
        </xdr:sp>
        <xdr:sp macro="" textlink="Traduccion!B22">
          <xdr:nvSpPr>
            <xdr:cNvPr id="54" name="CuadroTexto 53">
              <a:hlinkClick xmlns:r="http://schemas.openxmlformats.org/officeDocument/2006/relationships" r:id="rId12"/>
            </xdr:cNvPr>
            <xdr:cNvSpPr txBox="1"/>
          </xdr:nvSpPr>
          <xdr:spPr>
            <a:xfrm>
              <a:off x="6362701"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EDFA6F8-4D8A-4236-9C3C-35E4585A6021}" type="TxLink">
                <a:rPr lang="en-US" sz="1200" b="0" i="0" u="none" strike="noStrike">
                  <a:solidFill>
                    <a:schemeClr val="bg1"/>
                  </a:solidFill>
                  <a:latin typeface="Calibri"/>
                  <a:ea typeface="+mn-ea"/>
                  <a:cs typeface="Calibri"/>
                </a:rPr>
                <a:pPr marL="0" indent="0" algn="ctr"/>
                <a:t>Grupos</a:t>
              </a:fld>
              <a:endParaRPr lang="es-ES" sz="1200" b="0" i="0" u="none" strike="noStrike">
                <a:solidFill>
                  <a:schemeClr val="bg1"/>
                </a:solidFill>
                <a:latin typeface="Calibri"/>
                <a:ea typeface="+mn-ea"/>
                <a:cs typeface="Calibri"/>
              </a:endParaRPr>
            </a:p>
          </xdr:txBody>
        </xdr:sp>
      </xdr:grpSp>
      <xdr:pic>
        <xdr:nvPicPr>
          <xdr:cNvPr id="45" name="Imagen 44" descr="http://gsamartin.es/imagenes/icons/logo-pos.png">
            <a:hlinkClick xmlns:r="http://schemas.openxmlformats.org/officeDocument/2006/relationships" r:id="rId10"/>
          </xdr:cNvPr>
          <xdr:cNvPicPr>
            <a:picLocks noChangeAspect="1" noChangeArrowheads="1"/>
          </xdr:cNvPicPr>
        </xdr:nvPicPr>
        <xdr:blipFill>
          <a:blip xmlns:r="http://schemas.openxmlformats.org/officeDocument/2006/relationships" r:embed="rId13">
            <a:extLst>
              <a:ext uri="{BEBA8EAE-BF5A-486C-A8C5-ECC9F3942E4B}">
                <a14:imgProps xmlns:a14="http://schemas.microsoft.com/office/drawing/2010/main">
                  <a14:imgLayer r:embed="rId14">
                    <a14:imgEffect>
                      <a14:saturation sat="66000"/>
                    </a14:imgEffect>
                    <a14:imgEffect>
                      <a14:brightnessContrast bright="-6000"/>
                    </a14:imgEffect>
                  </a14:imgLayer>
                </a14:imgProps>
              </a:ext>
              <a:ext uri="{28A0092B-C50C-407E-A947-70E740481C1C}">
                <a14:useLocalDpi xmlns:a14="http://schemas.microsoft.com/office/drawing/2010/main" val="0"/>
              </a:ext>
            </a:extLst>
          </a:blip>
          <a:srcRect/>
          <a:stretch>
            <a:fillRect/>
          </a:stretch>
        </xdr:blipFill>
        <xdr:spPr bwMode="auto">
          <a:xfrm>
            <a:off x="7591425" y="0"/>
            <a:ext cx="1400175" cy="14001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190500</xdr:colOff>
      <xdr:row>1</xdr:row>
      <xdr:rowOff>9525</xdr:rowOff>
    </xdr:to>
    <xdr:grpSp>
      <xdr:nvGrpSpPr>
        <xdr:cNvPr id="15" name="Grupo 14"/>
        <xdr:cNvGrpSpPr/>
      </xdr:nvGrpSpPr>
      <xdr:grpSpPr>
        <a:xfrm>
          <a:off x="219075" y="0"/>
          <a:ext cx="8763000" cy="1400175"/>
          <a:chOff x="219076" y="0"/>
          <a:chExt cx="8772524" cy="1400175"/>
        </a:xfrm>
      </xdr:grpSpPr>
      <xdr:pic>
        <xdr:nvPicPr>
          <xdr:cNvPr id="16" name="Imagen 15">
            <a:hlinkClick xmlns:r="http://schemas.openxmlformats.org/officeDocument/2006/relationships" r:id="rId1"/>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l="24991" t="10054" r="27732" b="25264"/>
          <a:stretch/>
        </xdr:blipFill>
        <xdr:spPr>
          <a:xfrm>
            <a:off x="219076" y="19050"/>
            <a:ext cx="1182061" cy="1352550"/>
          </a:xfrm>
          <a:prstGeom prst="rect">
            <a:avLst/>
          </a:prstGeom>
          <a:ln>
            <a:noFill/>
          </a:ln>
        </xdr:spPr>
      </xdr:pic>
      <xdr:grpSp>
        <xdr:nvGrpSpPr>
          <xdr:cNvPr id="17" name="Grupo 16"/>
          <xdr:cNvGrpSpPr/>
        </xdr:nvGrpSpPr>
        <xdr:grpSpPr>
          <a:xfrm>
            <a:off x="1466849" y="28575"/>
            <a:ext cx="6134102" cy="1304925"/>
            <a:chOff x="1428749" y="28575"/>
            <a:chExt cx="6134102" cy="1304925"/>
          </a:xfrm>
        </xdr:grpSpPr>
        <xdr:sp macro="" textlink="Traduccion!B4">
          <xdr:nvSpPr>
            <xdr:cNvPr id="19" name="CuadroTexto 18">
              <a:hlinkClick xmlns:r="http://schemas.openxmlformats.org/officeDocument/2006/relationships" r:id="rId3"/>
            </xdr:cNvPr>
            <xdr:cNvSpPr txBox="1"/>
          </xdr:nvSpPr>
          <xdr:spPr>
            <a:xfrm>
              <a:off x="1428749" y="28575"/>
              <a:ext cx="6134101" cy="447675"/>
            </a:xfrm>
            <a:prstGeom prst="rect">
              <a:avLst/>
            </a:prstGeom>
            <a:solidFill>
              <a:srgbClr val="0070C0"/>
            </a:solidFill>
            <a:ln w="9525" cmpd="sng">
              <a:solidFill>
                <a:schemeClr val="lt1">
                  <a:shade val="50000"/>
                </a:schemeClr>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00586B9-E36E-455B-845E-34BE7244E237}" type="TxLink">
                <a:rPr lang="en-US" sz="1800" b="0" i="0" u="none" strike="noStrike">
                  <a:solidFill>
                    <a:schemeClr val="bg1"/>
                  </a:solidFill>
                  <a:latin typeface="Calibri"/>
                  <a:cs typeface="Calibri"/>
                </a:rPr>
                <a:pPr algn="ctr"/>
                <a:t>Copa del Mundo - Rusia 2018</a:t>
              </a:fld>
              <a:endParaRPr lang="es-ES" sz="1800">
                <a:solidFill>
                  <a:schemeClr val="bg1"/>
                </a:solidFill>
              </a:endParaRPr>
            </a:p>
          </xdr:txBody>
        </xdr:sp>
        <xdr:sp macro="" textlink="Traduccion!B18">
          <xdr:nvSpPr>
            <xdr:cNvPr id="20" name="CuadroTexto 19">
              <a:hlinkClick xmlns:r="http://schemas.openxmlformats.org/officeDocument/2006/relationships" r:id="rId4"/>
            </xdr:cNvPr>
            <xdr:cNvSpPr txBox="1"/>
          </xdr:nvSpPr>
          <xdr:spPr>
            <a:xfrm>
              <a:off x="1428751"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540ABAFA-C5A7-4981-810D-74A687BCD5FA}" type="TxLink">
                <a:rPr lang="en-US" sz="1200" b="0" i="0" u="none" strike="noStrike">
                  <a:solidFill>
                    <a:schemeClr val="bg1"/>
                  </a:solidFill>
                  <a:latin typeface="Calibri"/>
                  <a:ea typeface="+mn-ea"/>
                  <a:cs typeface="Calibri"/>
                </a:rPr>
                <a:pPr marL="0" indent="0" algn="ctr"/>
                <a:t>Fase de Grupos</a:t>
              </a:fld>
              <a:endParaRPr lang="es-ES" sz="1200" b="0" i="0" u="none" strike="noStrike">
                <a:solidFill>
                  <a:schemeClr val="bg1"/>
                </a:solidFill>
                <a:latin typeface="Calibri"/>
                <a:ea typeface="+mn-ea"/>
                <a:cs typeface="Calibri"/>
              </a:endParaRPr>
            </a:p>
          </xdr:txBody>
        </xdr:sp>
        <xdr:sp macro="" textlink="Traduccion!B19">
          <xdr:nvSpPr>
            <xdr:cNvPr id="21" name="CuadroTexto 20">
              <a:hlinkClick xmlns:r="http://schemas.openxmlformats.org/officeDocument/2006/relationships" r:id="rId5"/>
            </xdr:cNvPr>
            <xdr:cNvSpPr txBox="1"/>
          </xdr:nvSpPr>
          <xdr:spPr>
            <a:xfrm>
              <a:off x="2667001"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4B5DB28-3600-4930-9101-C892C76D753F}" type="TxLink">
                <a:rPr lang="en-US" sz="1200" b="0" i="0" u="none" strike="noStrike">
                  <a:solidFill>
                    <a:schemeClr val="bg1"/>
                  </a:solidFill>
                  <a:latin typeface="Calibri"/>
                  <a:ea typeface="+mn-ea"/>
                  <a:cs typeface="Calibri"/>
                </a:rPr>
                <a:pPr marL="0" indent="0" algn="ctr"/>
                <a:t>Fase Final</a:t>
              </a:fld>
              <a:endParaRPr lang="es-ES" sz="1200" b="0" i="0" u="none" strike="noStrike">
                <a:solidFill>
                  <a:schemeClr val="bg1"/>
                </a:solidFill>
                <a:latin typeface="Calibri"/>
                <a:ea typeface="+mn-ea"/>
                <a:cs typeface="Calibri"/>
              </a:endParaRPr>
            </a:p>
          </xdr:txBody>
        </xdr:sp>
        <xdr:sp macro="" textlink="Traduccion!B20">
          <xdr:nvSpPr>
            <xdr:cNvPr id="22" name="CuadroTexto 21">
              <a:hlinkClick xmlns:r="http://schemas.openxmlformats.org/officeDocument/2006/relationships" r:id="rId6"/>
            </xdr:cNvPr>
            <xdr:cNvSpPr txBox="1"/>
          </xdr:nvSpPr>
          <xdr:spPr>
            <a:xfrm>
              <a:off x="3895726"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4794497C-11F8-43A7-9EF5-691A402D5F49}" type="TxLink">
                <a:rPr lang="en-US" sz="900" b="0" i="0" u="none" strike="noStrike">
                  <a:solidFill>
                    <a:schemeClr val="bg1"/>
                  </a:solidFill>
                  <a:latin typeface="Calibri"/>
                  <a:ea typeface="+mn-ea"/>
                  <a:cs typeface="Calibri"/>
                </a:rPr>
                <a:pPr marL="0" indent="0" algn="ctr"/>
                <a:t>Selección a Selección</a:t>
              </a:fld>
              <a:endParaRPr lang="es-ES" sz="900" b="0" i="0" u="none" strike="noStrike">
                <a:solidFill>
                  <a:schemeClr val="bg1"/>
                </a:solidFill>
                <a:latin typeface="Calibri"/>
                <a:ea typeface="+mn-ea"/>
                <a:cs typeface="Calibri"/>
              </a:endParaRPr>
            </a:p>
          </xdr:txBody>
        </xdr:sp>
        <xdr:sp macro="" textlink="Traduccion!B21">
          <xdr:nvSpPr>
            <xdr:cNvPr id="23" name="CuadroTexto 22">
              <a:hlinkClick xmlns:r="http://schemas.openxmlformats.org/officeDocument/2006/relationships" r:id="rId7"/>
            </xdr:cNvPr>
            <xdr:cNvSpPr txBox="1"/>
          </xdr:nvSpPr>
          <xdr:spPr>
            <a:xfrm>
              <a:off x="5133976"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A82BD95-35CD-41F2-8196-3EA9C170A195}" type="TxLink">
                <a:rPr lang="en-US" sz="1200" b="0" i="0" u="none" strike="noStrike">
                  <a:solidFill>
                    <a:schemeClr val="bg1"/>
                  </a:solidFill>
                  <a:latin typeface="Calibri"/>
                  <a:ea typeface="+mn-ea"/>
                  <a:cs typeface="Calibri"/>
                </a:rPr>
                <a:pPr marL="0" indent="0" algn="ctr"/>
                <a:t>Sedes</a:t>
              </a:fld>
              <a:endParaRPr lang="es-ES" sz="1200" b="0" i="0" u="none" strike="noStrike">
                <a:solidFill>
                  <a:schemeClr val="bg1"/>
                </a:solidFill>
                <a:latin typeface="Calibri"/>
                <a:ea typeface="+mn-ea"/>
                <a:cs typeface="Calibri"/>
              </a:endParaRPr>
            </a:p>
          </xdr:txBody>
        </xdr:sp>
        <xdr:sp macro="" textlink="Traduccion!B23">
          <xdr:nvSpPr>
            <xdr:cNvPr id="24" name="CuadroTexto 23">
              <a:hlinkClick xmlns:r="http://schemas.openxmlformats.org/officeDocument/2006/relationships" r:id="rId8"/>
            </xdr:cNvPr>
            <xdr:cNvSpPr txBox="1"/>
          </xdr:nvSpPr>
          <xdr:spPr>
            <a:xfrm>
              <a:off x="1428750" y="914400"/>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0CCBAB4-25AA-45CF-A9C4-4E6E8227DFA8}" type="TxLink">
                <a:rPr lang="en-US" sz="1200" b="0" i="0" u="none" strike="noStrike">
                  <a:solidFill>
                    <a:schemeClr val="bg1"/>
                  </a:solidFill>
                  <a:latin typeface="Calibri"/>
                  <a:ea typeface="+mn-ea"/>
                  <a:cs typeface="Calibri"/>
                </a:rPr>
                <a:pPr marL="0" indent="0" algn="ctr"/>
                <a:t>Versión</a:t>
              </a:fld>
              <a:endParaRPr lang="es-ES" sz="1200" b="0" i="0" u="none" strike="noStrike">
                <a:solidFill>
                  <a:schemeClr val="bg1"/>
                </a:solidFill>
                <a:latin typeface="Calibri"/>
                <a:ea typeface="+mn-ea"/>
                <a:cs typeface="Calibri"/>
              </a:endParaRPr>
            </a:p>
          </xdr:txBody>
        </xdr:sp>
        <xdr:sp macro="" textlink="">
          <xdr:nvSpPr>
            <xdr:cNvPr id="25" name="CuadroTexto 24">
              <a:hlinkClick xmlns:r="http://schemas.openxmlformats.org/officeDocument/2006/relationships" r:id="rId9"/>
            </xdr:cNvPr>
            <xdr:cNvSpPr txBox="1"/>
          </xdr:nvSpPr>
          <xdr:spPr>
            <a:xfrm>
              <a:off x="2676524" y="962025"/>
              <a:ext cx="3648075" cy="371475"/>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i="0" u="none" strike="noStrike">
                  <a:solidFill>
                    <a:srgbClr val="0070C0"/>
                  </a:solidFill>
                  <a:latin typeface="Calibri"/>
                  <a:cs typeface="Calibri"/>
                </a:rPr>
                <a:t>Jorge García Samartín - www.gsamartin.es</a:t>
              </a:r>
            </a:p>
          </xdr:txBody>
        </xdr:sp>
        <xdr:sp macro="" textlink="Traduccion!B24">
          <xdr:nvSpPr>
            <xdr:cNvPr id="26" name="CuadroTexto 25">
              <a:hlinkClick xmlns:r="http://schemas.openxmlformats.org/officeDocument/2006/relationships" r:id="rId10"/>
            </xdr:cNvPr>
            <xdr:cNvSpPr txBox="1"/>
          </xdr:nvSpPr>
          <xdr:spPr>
            <a:xfrm>
              <a:off x="6362701" y="914400"/>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D189665-E935-4023-9F74-2ED6AD7817D5}" type="TxLink">
                <a:rPr lang="en-US" sz="1200" b="0" i="0" u="none" strike="noStrike">
                  <a:solidFill>
                    <a:schemeClr val="bg1"/>
                  </a:solidFill>
                  <a:latin typeface="Calibri"/>
                  <a:ea typeface="+mn-ea"/>
                  <a:cs typeface="Calibri"/>
                </a:rPr>
                <a:pPr marL="0" indent="0" algn="ctr"/>
                <a:t>Licencia</a:t>
              </a:fld>
              <a:endParaRPr lang="es-ES" sz="1200" b="0" i="0" u="none" strike="noStrike">
                <a:solidFill>
                  <a:schemeClr val="bg1"/>
                </a:solidFill>
                <a:latin typeface="Calibri"/>
                <a:ea typeface="+mn-ea"/>
                <a:cs typeface="Calibri"/>
              </a:endParaRPr>
            </a:p>
          </xdr:txBody>
        </xdr:sp>
        <xdr:sp macro="" textlink="Traduccion!B22">
          <xdr:nvSpPr>
            <xdr:cNvPr id="27" name="CuadroTexto 26">
              <a:hlinkClick xmlns:r="http://schemas.openxmlformats.org/officeDocument/2006/relationships" r:id="rId11"/>
            </xdr:cNvPr>
            <xdr:cNvSpPr txBox="1"/>
          </xdr:nvSpPr>
          <xdr:spPr>
            <a:xfrm>
              <a:off x="6362701" y="523875"/>
              <a:ext cx="1200150" cy="371475"/>
            </a:xfrm>
            <a:prstGeom prst="rect">
              <a:avLst/>
            </a:prstGeom>
            <a:solidFill>
              <a:srgbClr val="0070C0"/>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EDFA6F8-4D8A-4236-9C3C-35E4585A6021}" type="TxLink">
                <a:rPr lang="en-US" sz="1200" b="0" i="0" u="none" strike="noStrike">
                  <a:solidFill>
                    <a:schemeClr val="bg1"/>
                  </a:solidFill>
                  <a:latin typeface="Calibri"/>
                  <a:ea typeface="+mn-ea"/>
                  <a:cs typeface="Calibri"/>
                </a:rPr>
                <a:pPr marL="0" indent="0" algn="ctr"/>
                <a:t>Grupos</a:t>
              </a:fld>
              <a:endParaRPr lang="es-ES" sz="1200" b="0" i="0" u="none" strike="noStrike">
                <a:solidFill>
                  <a:schemeClr val="bg1"/>
                </a:solidFill>
                <a:latin typeface="Calibri"/>
                <a:ea typeface="+mn-ea"/>
                <a:cs typeface="Calibri"/>
              </a:endParaRPr>
            </a:p>
          </xdr:txBody>
        </xdr:sp>
      </xdr:grpSp>
      <xdr:pic>
        <xdr:nvPicPr>
          <xdr:cNvPr id="18" name="Imagen 17" descr="http://gsamartin.es/imagenes/icons/logo-pos.png">
            <a:hlinkClick xmlns:r="http://schemas.openxmlformats.org/officeDocument/2006/relationships" r:id="rId9"/>
          </xdr:cNvPr>
          <xdr:cNvPicPr>
            <a:picLocks noChangeAspect="1" noChangeArrowheads="1"/>
          </xdr:cNvPicPr>
        </xdr:nvPicPr>
        <xdr:blipFill>
          <a:blip xmlns:r="http://schemas.openxmlformats.org/officeDocument/2006/relationships" r:embed="rId12">
            <a:extLst>
              <a:ext uri="{BEBA8EAE-BF5A-486C-A8C5-ECC9F3942E4B}">
                <a14:imgProps xmlns:a14="http://schemas.microsoft.com/office/drawing/2010/main">
                  <a14:imgLayer r:embed="rId13">
                    <a14:imgEffect>
                      <a14:saturation sat="66000"/>
                    </a14:imgEffect>
                    <a14:imgEffect>
                      <a14:brightnessContrast bright="-6000"/>
                    </a14:imgEffect>
                  </a14:imgLayer>
                </a14:imgProps>
              </a:ext>
              <a:ext uri="{28A0092B-C50C-407E-A947-70E740481C1C}">
                <a14:useLocalDpi xmlns:a14="http://schemas.microsoft.com/office/drawing/2010/main" val="0"/>
              </a:ext>
            </a:extLst>
          </a:blip>
          <a:srcRect/>
          <a:stretch>
            <a:fillRect/>
          </a:stretch>
        </xdr:blipFill>
        <xdr:spPr bwMode="auto">
          <a:xfrm>
            <a:off x="7591425" y="0"/>
            <a:ext cx="1400175" cy="14001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AH33"/>
  <sheetViews>
    <sheetView topLeftCell="E1" workbookViewId="0">
      <selection activeCell="V34" sqref="V34"/>
    </sheetView>
  </sheetViews>
  <sheetFormatPr baseColWidth="10" defaultColWidth="9.140625" defaultRowHeight="15" x14ac:dyDescent="0.25"/>
  <cols>
    <col min="5" max="5" width="13.7109375" bestFit="1" customWidth="1"/>
    <col min="7" max="7" width="9.42578125" bestFit="1" customWidth="1"/>
    <col min="33" max="33" width="9.42578125" bestFit="1" customWidth="1"/>
  </cols>
  <sheetData>
    <row r="1" spans="1:34" x14ac:dyDescent="0.25">
      <c r="A1" t="s">
        <v>50</v>
      </c>
      <c r="B1" t="s">
        <v>35</v>
      </c>
      <c r="C1" t="s">
        <v>36</v>
      </c>
      <c r="D1" t="s">
        <v>37</v>
      </c>
      <c r="E1" t="s">
        <v>38</v>
      </c>
      <c r="F1" t="s">
        <v>39</v>
      </c>
      <c r="G1" t="s">
        <v>40</v>
      </c>
      <c r="H1" t="s">
        <v>41</v>
      </c>
      <c r="I1" t="s">
        <v>42</v>
      </c>
      <c r="J1" t="s">
        <v>43</v>
      </c>
      <c r="K1" t="s">
        <v>44</v>
      </c>
      <c r="L1" t="s">
        <v>45</v>
      </c>
      <c r="M1" t="s">
        <v>46</v>
      </c>
      <c r="N1" t="s">
        <v>47</v>
      </c>
      <c r="O1" t="s">
        <v>46</v>
      </c>
      <c r="P1" t="s">
        <v>44</v>
      </c>
      <c r="Q1" t="s">
        <v>82</v>
      </c>
      <c r="R1" t="s">
        <v>48</v>
      </c>
      <c r="S1" t="s">
        <v>49</v>
      </c>
      <c r="V1" t="s">
        <v>58</v>
      </c>
      <c r="X1" t="s">
        <v>59</v>
      </c>
      <c r="Y1" t="s">
        <v>60</v>
      </c>
      <c r="Z1" t="s">
        <v>61</v>
      </c>
      <c r="AA1" t="s">
        <v>62</v>
      </c>
      <c r="AH1" s="2" t="s">
        <v>125</v>
      </c>
    </row>
    <row r="2" spans="1:34" x14ac:dyDescent="0.25">
      <c r="A2" s="3">
        <f ca="1">SUM(R2:S2)</f>
        <v>2</v>
      </c>
      <c r="B2" s="3" t="str">
        <f>CHAR(C2) &amp; D2</f>
        <v>A1</v>
      </c>
      <c r="C2" s="3">
        <v>65</v>
      </c>
      <c r="D2" s="3">
        <v>1</v>
      </c>
      <c r="E2" s="3" t="str">
        <f ca="1">Traduccion!B64</f>
        <v>Rusia</v>
      </c>
      <c r="F2" s="3">
        <f ca="1">3*H2+I2</f>
        <v>6</v>
      </c>
      <c r="G2" s="3">
        <f ca="1">SUMIFS(FaseGrupos!J:J,FaseGrupos!P:P,Config!E2,FaseGrupos!A:A,"G") + SUMIFS(FaseGrupos!J:J,FaseGrupos!S:S,Config!E2,FaseGrupos!A:A,"G")</f>
        <v>3</v>
      </c>
      <c r="H2" s="3">
        <f ca="1">COUNTIFS(FaseGrupos!K:K,1,FaseGrupos!P:P,Config!E2,FaseGrupos!J:J,1,FaseGrupos!A:A,"G") + COUNTIFS(FaseGrupos!U:U,1,FaseGrupos!S:S,Config!E2,FaseGrupos!J:J,1,FaseGrupos!A:A,"G")</f>
        <v>2</v>
      </c>
      <c r="I2" s="3">
        <f ca="1">G2-H2-J2</f>
        <v>0</v>
      </c>
      <c r="J2" s="3">
        <f ca="1">COUNTIFS(FaseGrupos!U:U,1,FaseGrupos!P:P,Config!E2,FaseGrupos!J:J,1,FaseGrupos!A:A,"G") + COUNTIFS(FaseGrupos!K:K,1,FaseGrupos!S:S,Config!E2,FaseGrupos!J:J,1,FaseGrupos!A:A,"G")</f>
        <v>1</v>
      </c>
      <c r="K2" s="3">
        <f ca="1">SUMIFS(FaseGrupos!Q:Q,FaseGrupos!P:P,Config!E2,FaseGrupos!J:J,1,FaseGrupos!A:A,"G") + SUMIFS(FaseGrupos!R:R,FaseGrupos!S:S,Config!E2,FaseGrupos!J:J,1,FaseGrupos!A:A,"G")</f>
        <v>8</v>
      </c>
      <c r="L2" s="3">
        <f ca="1">SUMIFS(FaseGrupos!R:R,FaseGrupos!P:P,Config!E2,FaseGrupos!J:J,1,FaseGrupos!A:A,"G") + SUMIFS(FaseGrupos!Q:Q,FaseGrupos!S:S,Config!E2,FaseGrupos!J:J,1,FaseGrupos!A:A,"G")</f>
        <v>4</v>
      </c>
      <c r="M2" s="3">
        <f ca="1">K2-L2</f>
        <v>4</v>
      </c>
      <c r="N2" s="3">
        <f ca="1">_xlfn.RANK.EQ(F2,F2:F5,0)</f>
        <v>2</v>
      </c>
      <c r="O2" s="3">
        <f ca="1">SUMPRODUCT((N2:N5=N2)*(M2:M5&gt;M2))</f>
        <v>0</v>
      </c>
      <c r="P2" s="3">
        <f ca="1">SUMPRODUCT((N2:N5=N2)*(O2:O5=O2)*(L2:L5&gt;L2))</f>
        <v>0</v>
      </c>
      <c r="Q2" s="3">
        <f ca="1">SUMPRODUCT((N2:N5=N2)*(O2:O5=O2)*(L2:L5=L2)*(FairPlay!C4:C7&gt;FairPlay!C4))</f>
        <v>0</v>
      </c>
      <c r="R2" s="3">
        <f ca="1">SUM(N2:Q2)</f>
        <v>2</v>
      </c>
      <c r="S2" s="3">
        <f ca="1">COUNTIF(R2:R2,R2)-1</f>
        <v>0</v>
      </c>
      <c r="V2" t="s">
        <v>63</v>
      </c>
      <c r="W2">
        <v>6</v>
      </c>
      <c r="X2">
        <v>1</v>
      </c>
      <c r="Y2">
        <v>0</v>
      </c>
      <c r="Z2">
        <f>W28</f>
        <v>32</v>
      </c>
      <c r="AA2" t="s">
        <v>0</v>
      </c>
      <c r="AB2" t="str">
        <f>Traduccion!C51</f>
        <v>Fase de Grupos</v>
      </c>
      <c r="AD2" t="s">
        <v>83</v>
      </c>
      <c r="AE2">
        <v>1</v>
      </c>
      <c r="AF2">
        <v>65</v>
      </c>
      <c r="AG2" t="str">
        <f>"C" &amp; CHAR(AF2) &amp; AE2</f>
        <v>CA1</v>
      </c>
      <c r="AH2" t="str">
        <f ca="1">IF(LOOKUP(AG2,FaseGrupos!$AC$7:$AC$52,FaseGrupos!$AG$8:$AG$53)=INDEX($X$14:$X$27,MATCH(AF2,$V$14:$V$27,0)),LOOKUP(AG2,FaseGrupos!$AC$8:$AC$53,FaseGrupos!$AE$8:$AE$53), AE2 &amp; Traduccion!$C$8 &amp; " " &amp; CHAR(Config!AF2))</f>
        <v>Uruguay</v>
      </c>
    </row>
    <row r="3" spans="1:34" x14ac:dyDescent="0.25">
      <c r="A3" s="3">
        <f t="shared" ref="A3:A33" ca="1" si="0">SUM(R3:S3)</f>
        <v>3</v>
      </c>
      <c r="B3" s="3" t="str">
        <f t="shared" ref="B3:B33" si="1">CHAR(C3) &amp; D3</f>
        <v>A2</v>
      </c>
      <c r="C3" s="3">
        <v>65</v>
      </c>
      <c r="D3" s="3">
        <v>2</v>
      </c>
      <c r="E3" s="3" t="str">
        <f ca="1">Traduccion!B65</f>
        <v>Arabia Saudita</v>
      </c>
      <c r="F3" s="3">
        <f t="shared" ref="F3:F33" ca="1" si="2">3*H3+I3</f>
        <v>3</v>
      </c>
      <c r="G3" s="3">
        <f ca="1">SUMIFS(FaseGrupos!J:J,FaseGrupos!P:P,Config!E3,FaseGrupos!A:A,"G") + SUMIFS(FaseGrupos!J:J,FaseGrupos!S:S,Config!E3,FaseGrupos!A:A,"G")</f>
        <v>3</v>
      </c>
      <c r="H3" s="3">
        <f ca="1">COUNTIFS(FaseGrupos!K:K,1,FaseGrupos!P:P,Config!E3,FaseGrupos!J:J,1,FaseGrupos!A:A,"G") + COUNTIFS(FaseGrupos!U:U,1,FaseGrupos!S:S,Config!E3,FaseGrupos!J:J,1,FaseGrupos!A:A,"G")</f>
        <v>1</v>
      </c>
      <c r="I3" s="3">
        <f t="shared" ref="I3:I33" ca="1" si="3">G3-H3-J3</f>
        <v>0</v>
      </c>
      <c r="J3" s="3">
        <f ca="1">COUNTIFS(FaseGrupos!U:U,1,FaseGrupos!P:P,Config!E3,FaseGrupos!J:J,1,FaseGrupos!A:A,"G") + COUNTIFS(FaseGrupos!K:K,1,FaseGrupos!S:S,Config!E3,FaseGrupos!J:J,1,FaseGrupos!A:A,"G")</f>
        <v>2</v>
      </c>
      <c r="K3" s="3">
        <f ca="1">SUMIFS(FaseGrupos!Q:Q,FaseGrupos!P:P,Config!E3,FaseGrupos!J:J,1,FaseGrupos!A:A,"G") + SUMIFS(FaseGrupos!R:R,FaseGrupos!S:S,Config!E3,FaseGrupos!J:J,1,FaseGrupos!A:A,"G")</f>
        <v>2</v>
      </c>
      <c r="L3" s="3">
        <f ca="1">SUMIFS(FaseGrupos!R:R,FaseGrupos!P:P,Config!E3,FaseGrupos!J:J,1,FaseGrupos!A:A,"G") + SUMIFS(FaseGrupos!Q:Q,FaseGrupos!S:S,Config!E3,FaseGrupos!J:J,1,FaseGrupos!A:A,"G")</f>
        <v>7</v>
      </c>
      <c r="M3" s="3">
        <f t="shared" ref="M3:M33" ca="1" si="4">K3-L3</f>
        <v>-5</v>
      </c>
      <c r="N3" s="3">
        <f ca="1">_xlfn.RANK.EQ(F3,F2:F5,0)</f>
        <v>3</v>
      </c>
      <c r="O3" s="3">
        <f ca="1">SUMPRODUCT((N2:N5=N3)*(M2:M5&gt;M3))</f>
        <v>0</v>
      </c>
      <c r="P3" s="3">
        <f ca="1">SUMPRODUCT((N2:N5=N3)*(O2:O5=O3)*(L2:L5&gt;L3))</f>
        <v>0</v>
      </c>
      <c r="Q3" s="3">
        <f ca="1">SUMPRODUCT((N2:N5=N3)*(O2:O5=O3)*(L2:L5=L3)*(FairPlay!C4:C7&gt;FairPlay!C5))</f>
        <v>0</v>
      </c>
      <c r="R3" s="3">
        <f t="shared" ref="R3:R33" ca="1" si="5">SUM(N3:Q3)</f>
        <v>3</v>
      </c>
      <c r="S3" s="3">
        <f ca="1">COUNTIF(R2:R3,R3)-1</f>
        <v>0</v>
      </c>
      <c r="V3" t="s">
        <v>64</v>
      </c>
      <c r="W3">
        <f>W2+Y28</f>
        <v>54</v>
      </c>
      <c r="X3">
        <v>1</v>
      </c>
      <c r="Y3">
        <v>1</v>
      </c>
      <c r="Z3">
        <f>2^ROUNDUP(SQRT(Z28),0)</f>
        <v>16</v>
      </c>
      <c r="AA3" t="s">
        <v>65</v>
      </c>
      <c r="AB3" t="str">
        <f>Traduccion!C52</f>
        <v>Octavos de final</v>
      </c>
      <c r="AD3" t="s">
        <v>84</v>
      </c>
      <c r="AE3">
        <v>2</v>
      </c>
      <c r="AF3">
        <v>66</v>
      </c>
      <c r="AG3" t="str">
        <f t="shared" ref="AG3:AG17" si="6">"C" &amp; CHAR(AF3) &amp; AE3</f>
        <v>CB2</v>
      </c>
      <c r="AH3" t="str">
        <f ca="1">IF(LOOKUP(AG3,FaseGrupos!$AC$7:$AC$52,FaseGrupos!$AG$8:$AG$53)=INDEX($X$14:$X$27,MATCH(AF3,$V$14:$V$27,0)),LOOKUP(AG3,FaseGrupos!$AC$8:$AC$53,FaseGrupos!$AE$8:$AE$53), AE3 &amp; Traduccion!$C$8 &amp; " " &amp; CHAR(Config!AF3))</f>
        <v>Portugal</v>
      </c>
    </row>
    <row r="4" spans="1:34" x14ac:dyDescent="0.25">
      <c r="A4" s="3">
        <f t="shared" ca="1" si="0"/>
        <v>4</v>
      </c>
      <c r="B4" s="3" t="str">
        <f t="shared" si="1"/>
        <v>A3</v>
      </c>
      <c r="C4" s="3">
        <v>65</v>
      </c>
      <c r="D4" s="3">
        <v>3</v>
      </c>
      <c r="E4" s="3" t="str">
        <f ca="1">Traduccion!B66</f>
        <v>Egipto</v>
      </c>
      <c r="F4" s="3">
        <f t="shared" ca="1" si="2"/>
        <v>0</v>
      </c>
      <c r="G4" s="3">
        <f ca="1">SUMIFS(FaseGrupos!J:J,FaseGrupos!P:P,Config!E4,FaseGrupos!A:A,"G") + SUMIFS(FaseGrupos!J:J,FaseGrupos!S:S,Config!E4,FaseGrupos!A:A,"G")</f>
        <v>3</v>
      </c>
      <c r="H4" s="3">
        <f ca="1">COUNTIFS(FaseGrupos!K:K,1,FaseGrupos!P:P,Config!E4,FaseGrupos!J:J,1,FaseGrupos!A:A,"G") + COUNTIFS(FaseGrupos!U:U,1,FaseGrupos!S:S,Config!E4,FaseGrupos!J:J,1,FaseGrupos!A:A,"G")</f>
        <v>0</v>
      </c>
      <c r="I4" s="3">
        <f t="shared" ca="1" si="3"/>
        <v>0</v>
      </c>
      <c r="J4" s="3">
        <f ca="1">COUNTIFS(FaseGrupos!U:U,1,FaseGrupos!P:P,Config!E4,FaseGrupos!J:J,1,FaseGrupos!A:A,"G") + COUNTIFS(FaseGrupos!K:K,1,FaseGrupos!S:S,Config!E4,FaseGrupos!J:J,1,FaseGrupos!A:A,"G")</f>
        <v>3</v>
      </c>
      <c r="K4" s="3">
        <f ca="1">SUMIFS(FaseGrupos!Q:Q,FaseGrupos!P:P,Config!E4,FaseGrupos!J:J,1,FaseGrupos!A:A,"G") + SUMIFS(FaseGrupos!R:R,FaseGrupos!S:S,Config!E4,FaseGrupos!J:J,1,FaseGrupos!A:A,"G")</f>
        <v>2</v>
      </c>
      <c r="L4" s="3">
        <f ca="1">SUMIFS(FaseGrupos!R:R,FaseGrupos!P:P,Config!E4,FaseGrupos!J:J,1,FaseGrupos!A:A,"G") + SUMIFS(FaseGrupos!Q:Q,FaseGrupos!S:S,Config!E4,FaseGrupos!J:J,1,FaseGrupos!A:A,"G")</f>
        <v>6</v>
      </c>
      <c r="M4" s="3">
        <f t="shared" ca="1" si="4"/>
        <v>-4</v>
      </c>
      <c r="N4" s="3">
        <f ca="1">_xlfn.RANK.EQ(F4,F2:F5,0)</f>
        <v>4</v>
      </c>
      <c r="O4" s="3">
        <f ca="1">SUMPRODUCT((N2:N5=N4)*(M2:M5&gt;M4))</f>
        <v>0</v>
      </c>
      <c r="P4" s="3">
        <f ca="1">SUMPRODUCT((N2:N5=N4)*(O2:O5=O4)*(L2:L5&gt;L4))</f>
        <v>0</v>
      </c>
      <c r="Q4" s="3">
        <f ca="1">SUMPRODUCT((N2:N5=N4)*(O2:O5=O4)*(L2:L5=L4)*(FairPlay!C4:C7&gt;FairPlay!C6))</f>
        <v>0</v>
      </c>
      <c r="R4" s="3">
        <f t="shared" ca="1" si="5"/>
        <v>4</v>
      </c>
      <c r="S4" s="3">
        <f ca="1">COUNTIF(R2:R4,R4)-1</f>
        <v>0</v>
      </c>
      <c r="V4" t="s">
        <v>66</v>
      </c>
      <c r="W4">
        <f t="shared" ref="W4:W11" si="7">W3+Z3*X3/2</f>
        <v>62</v>
      </c>
      <c r="X4">
        <v>1</v>
      </c>
      <c r="Y4">
        <v>1</v>
      </c>
      <c r="Z4">
        <f>IF(Z3&lt;&gt;2,Z3/2,0)</f>
        <v>8</v>
      </c>
      <c r="AA4" t="s">
        <v>67</v>
      </c>
      <c r="AB4" t="str">
        <f>Traduccion!C53</f>
        <v>Cuartos de final</v>
      </c>
      <c r="AD4" t="s">
        <v>88</v>
      </c>
      <c r="AE4">
        <v>1</v>
      </c>
      <c r="AF4">
        <v>67</v>
      </c>
      <c r="AG4" t="str">
        <f t="shared" si="6"/>
        <v>CC1</v>
      </c>
      <c r="AH4" t="str">
        <f ca="1">IF(LOOKUP(AG4,FaseGrupos!$AC$7:$AC$52,FaseGrupos!$AG$8:$AG$53)=INDEX($X$14:$X$27,MATCH(AF4,$V$14:$V$27,0)),LOOKUP(AG4,FaseGrupos!$AC$8:$AC$53,FaseGrupos!$AE$8:$AE$53), AE4 &amp; Traduccion!$C$8 &amp; " " &amp; CHAR(Config!AF4))</f>
        <v>Francia</v>
      </c>
    </row>
    <row r="5" spans="1:34" x14ac:dyDescent="0.25">
      <c r="A5" s="4">
        <f t="shared" ca="1" si="0"/>
        <v>1</v>
      </c>
      <c r="B5" s="4" t="str">
        <f t="shared" si="1"/>
        <v>A4</v>
      </c>
      <c r="C5" s="4">
        <v>65</v>
      </c>
      <c r="D5" s="4">
        <v>4</v>
      </c>
      <c r="E5" s="4" t="str">
        <f ca="1">Traduccion!B67</f>
        <v>Uruguay</v>
      </c>
      <c r="F5" s="4">
        <f t="shared" ca="1" si="2"/>
        <v>9</v>
      </c>
      <c r="G5" s="4">
        <f ca="1">SUMIFS(FaseGrupos!J:J,FaseGrupos!P:P,Config!E5,FaseGrupos!A:A,"G") + SUMIFS(FaseGrupos!J:J,FaseGrupos!S:S,Config!E5,FaseGrupos!A:A,"G")</f>
        <v>3</v>
      </c>
      <c r="H5" s="4">
        <f ca="1">COUNTIFS(FaseGrupos!K:K,1,FaseGrupos!P:P,Config!E5,FaseGrupos!J:J,1,FaseGrupos!A:A,"G") + COUNTIFS(FaseGrupos!U:U,1,FaseGrupos!S:S,Config!E5,FaseGrupos!J:J,1,FaseGrupos!A:A,"G")</f>
        <v>3</v>
      </c>
      <c r="I5" s="4">
        <f t="shared" ca="1" si="3"/>
        <v>0</v>
      </c>
      <c r="J5" s="4">
        <f ca="1">COUNTIFS(FaseGrupos!U:U,1,FaseGrupos!P:P,Config!E5,FaseGrupos!J:J,1,FaseGrupos!A:A,"G") + COUNTIFS(FaseGrupos!K:K,1,FaseGrupos!S:S,Config!E5,FaseGrupos!J:J,1,FaseGrupos!A:A,"G")</f>
        <v>0</v>
      </c>
      <c r="K5" s="4">
        <f ca="1">SUMIFS(FaseGrupos!Q:Q,FaseGrupos!P:P,Config!E5,FaseGrupos!J:J,1,FaseGrupos!A:A,"G") + SUMIFS(FaseGrupos!R:R,FaseGrupos!S:S,Config!E5,FaseGrupos!J:J,1,FaseGrupos!A:A,"G")</f>
        <v>5</v>
      </c>
      <c r="L5" s="4">
        <f ca="1">SUMIFS(FaseGrupos!R:R,FaseGrupos!P:P,Config!E5,FaseGrupos!J:J,1,FaseGrupos!A:A,"G") + SUMIFS(FaseGrupos!Q:Q,FaseGrupos!S:S,Config!E5,FaseGrupos!J:J,1,FaseGrupos!A:A,"G")</f>
        <v>0</v>
      </c>
      <c r="M5" s="4">
        <f t="shared" ca="1" si="4"/>
        <v>5</v>
      </c>
      <c r="N5" s="4">
        <f ca="1">_xlfn.RANK.EQ(F5,F2:F5,0)</f>
        <v>1</v>
      </c>
      <c r="O5" s="4">
        <f ca="1">SUMPRODUCT((N2:N5=N5)*(M2:M5&gt;M5))</f>
        <v>0</v>
      </c>
      <c r="P5" s="4">
        <f ca="1">SUMPRODUCT((N2:N5=N5)*(O2:O5=O5)*(L2:L5&gt;L5))</f>
        <v>0</v>
      </c>
      <c r="Q5" s="4">
        <f ca="1">SUMPRODUCT((N2:N5=N5)*(O2:O5=O5)*(L2:L5=L5)*(FairPlay!C4:C7&gt;FairPlay!C7))</f>
        <v>0</v>
      </c>
      <c r="R5" s="4">
        <f t="shared" ca="1" si="5"/>
        <v>1</v>
      </c>
      <c r="S5" s="4">
        <f ca="1">COUNTIF(R2:R5,R5)-1</f>
        <v>0</v>
      </c>
      <c r="V5" t="s">
        <v>68</v>
      </c>
      <c r="W5">
        <f t="shared" si="7"/>
        <v>66</v>
      </c>
      <c r="X5">
        <v>1</v>
      </c>
      <c r="Y5">
        <v>1</v>
      </c>
      <c r="Z5">
        <f t="shared" ref="Z5:Z11" si="8">IF(Z4&lt;&gt;2,Z4/2,0)</f>
        <v>4</v>
      </c>
      <c r="AA5" t="s">
        <v>69</v>
      </c>
      <c r="AB5" t="str">
        <f>Traduccion!C54</f>
        <v>Semifinales</v>
      </c>
      <c r="AD5" t="s">
        <v>85</v>
      </c>
      <c r="AE5">
        <v>2</v>
      </c>
      <c r="AF5">
        <v>68</v>
      </c>
      <c r="AG5" t="str">
        <f t="shared" si="6"/>
        <v>CD2</v>
      </c>
      <c r="AH5" t="str">
        <f ca="1">IF(LOOKUP(AG5,FaseGrupos!$AC$7:$AC$52,FaseGrupos!$AG$8:$AG$53)=INDEX($X$14:$X$27,MATCH(AF5,$V$14:$V$27,0)),LOOKUP(AG5,FaseGrupos!$AC$8:$AC$53,FaseGrupos!$AE$8:$AE$53), AE5 &amp; Traduccion!$C$8 &amp; " " &amp; CHAR(Config!AF5))</f>
        <v>Argentina</v>
      </c>
    </row>
    <row r="6" spans="1:34" x14ac:dyDescent="0.25">
      <c r="A6" s="3">
        <f t="shared" ca="1" si="0"/>
        <v>4</v>
      </c>
      <c r="B6" s="3" t="str">
        <f t="shared" si="1"/>
        <v>B1</v>
      </c>
      <c r="C6" s="3">
        <v>66</v>
      </c>
      <c r="D6" s="3">
        <v>1</v>
      </c>
      <c r="E6" s="3" t="str">
        <f ca="1">Traduccion!B68</f>
        <v>Marruecos</v>
      </c>
      <c r="F6" s="3">
        <f t="shared" ca="1" si="2"/>
        <v>1</v>
      </c>
      <c r="G6" s="3">
        <f ca="1">SUMIFS(FaseGrupos!J:J,FaseGrupos!P:P,Config!E6,FaseGrupos!A:A,"G") + SUMIFS(FaseGrupos!J:J,FaseGrupos!S:S,Config!E6,FaseGrupos!A:A,"G")</f>
        <v>3</v>
      </c>
      <c r="H6" s="3">
        <f ca="1">COUNTIFS(FaseGrupos!K:K,1,FaseGrupos!P:P,Config!E6,FaseGrupos!J:J,1,FaseGrupos!A:A,"G") + COUNTIFS(FaseGrupos!U:U,1,FaseGrupos!S:S,Config!E6,FaseGrupos!J:J,1,FaseGrupos!A:A,"G")</f>
        <v>0</v>
      </c>
      <c r="I6" s="3">
        <f t="shared" ca="1" si="3"/>
        <v>1</v>
      </c>
      <c r="J6" s="3">
        <f ca="1">COUNTIFS(FaseGrupos!U:U,1,FaseGrupos!P:P,Config!E6,FaseGrupos!J:J,1,FaseGrupos!A:A,"G") + COUNTIFS(FaseGrupos!K:K,1,FaseGrupos!S:S,Config!E6,FaseGrupos!J:J,1,FaseGrupos!A:A,"G")</f>
        <v>2</v>
      </c>
      <c r="K6" s="3">
        <f ca="1">SUMIFS(FaseGrupos!Q:Q,FaseGrupos!P:P,Config!E6,FaseGrupos!J:J,1,FaseGrupos!A:A,"G") + SUMIFS(FaseGrupos!R:R,FaseGrupos!S:S,Config!E6,FaseGrupos!J:J,1,FaseGrupos!A:A,"G")</f>
        <v>2</v>
      </c>
      <c r="L6" s="3">
        <f ca="1">SUMIFS(FaseGrupos!R:R,FaseGrupos!P:P,Config!E6,FaseGrupos!J:J,1,FaseGrupos!A:A,"G") + SUMIFS(FaseGrupos!Q:Q,FaseGrupos!S:S,Config!E6,FaseGrupos!J:J,1,FaseGrupos!A:A,"G")</f>
        <v>4</v>
      </c>
      <c r="M6" s="3">
        <f t="shared" ca="1" si="4"/>
        <v>-2</v>
      </c>
      <c r="N6" s="3">
        <f ca="1">_xlfn.RANK.EQ(F6,F6:F9,0)</f>
        <v>4</v>
      </c>
      <c r="O6" s="3">
        <f ca="1">SUMPRODUCT((N6:N9=N6)*(M6:M9&gt;M6))</f>
        <v>0</v>
      </c>
      <c r="P6" s="3">
        <f ca="1">SUMPRODUCT((N6:N9=N6)*(O6:O9=O6)*(L6:L9&gt;L6))</f>
        <v>0</v>
      </c>
      <c r="Q6" s="3">
        <f ca="1">SUMPRODUCT((N6:N9=N6)*(O6:O9=O6)*(L6:L9=L6)*(FairPlay!C8:C11&gt;FairPlay!C8))</f>
        <v>0</v>
      </c>
      <c r="R6" s="3">
        <f t="shared" ca="1" si="5"/>
        <v>4</v>
      </c>
      <c r="S6" s="3">
        <f ca="1">COUNTIF(R6:R6,R6)-1</f>
        <v>0</v>
      </c>
      <c r="V6" t="s">
        <v>70</v>
      </c>
      <c r="W6">
        <f t="shared" si="7"/>
        <v>68</v>
      </c>
      <c r="X6">
        <v>1</v>
      </c>
      <c r="Y6">
        <v>1</v>
      </c>
      <c r="Z6">
        <f t="shared" si="8"/>
        <v>2</v>
      </c>
      <c r="AA6" t="s">
        <v>128</v>
      </c>
      <c r="AB6" t="str">
        <f>Traduccion!C55</f>
        <v>Tercer y Cuarto Puesto</v>
      </c>
      <c r="AD6" t="s">
        <v>89</v>
      </c>
      <c r="AE6">
        <v>1</v>
      </c>
      <c r="AF6">
        <v>69</v>
      </c>
      <c r="AG6" t="str">
        <f t="shared" si="6"/>
        <v>CE1</v>
      </c>
      <c r="AH6" t="str">
        <f ca="1">IF(LOOKUP(AG6,FaseGrupos!$AC$7:$AC$52,FaseGrupos!$AG$8:$AG$53)=INDEX($X$14:$X$27,MATCH(AF6,$V$14:$V$27,0)),LOOKUP(AG6,FaseGrupos!$AC$8:$AC$53,FaseGrupos!$AE$8:$AE$53), AE6 &amp; Traduccion!$C$8 &amp; " " &amp; CHAR(Config!AF6))</f>
        <v>Brasil</v>
      </c>
    </row>
    <row r="7" spans="1:34" x14ac:dyDescent="0.25">
      <c r="A7" s="3">
        <f t="shared" ca="1" si="0"/>
        <v>3</v>
      </c>
      <c r="B7" s="3" t="str">
        <f t="shared" si="1"/>
        <v>B2</v>
      </c>
      <c r="C7" s="3">
        <v>66</v>
      </c>
      <c r="D7" s="3">
        <v>2</v>
      </c>
      <c r="E7" s="3" t="str">
        <f ca="1">Traduccion!B69</f>
        <v>Irán</v>
      </c>
      <c r="F7" s="3">
        <f t="shared" ca="1" si="2"/>
        <v>4</v>
      </c>
      <c r="G7" s="3">
        <f ca="1">SUMIFS(FaseGrupos!J:J,FaseGrupos!P:P,Config!E7,FaseGrupos!A:A,"G") + SUMIFS(FaseGrupos!J:J,FaseGrupos!S:S,Config!E7,FaseGrupos!A:A,"G")</f>
        <v>3</v>
      </c>
      <c r="H7" s="3">
        <f ca="1">COUNTIFS(FaseGrupos!K:K,1,FaseGrupos!P:P,Config!E7,FaseGrupos!J:J,1,FaseGrupos!A:A,"G") + COUNTIFS(FaseGrupos!U:U,1,FaseGrupos!S:S,Config!E7,FaseGrupos!J:J,1,FaseGrupos!A:A,"G")</f>
        <v>1</v>
      </c>
      <c r="I7" s="3">
        <f t="shared" ca="1" si="3"/>
        <v>1</v>
      </c>
      <c r="J7" s="3">
        <f ca="1">COUNTIFS(FaseGrupos!U:U,1,FaseGrupos!P:P,Config!E7,FaseGrupos!J:J,1,FaseGrupos!A:A,"G") + COUNTIFS(FaseGrupos!K:K,1,FaseGrupos!S:S,Config!E7,FaseGrupos!J:J,1,FaseGrupos!A:A,"G")</f>
        <v>1</v>
      </c>
      <c r="K7" s="3">
        <f ca="1">SUMIFS(FaseGrupos!Q:Q,FaseGrupos!P:P,Config!E7,FaseGrupos!J:J,1,FaseGrupos!A:A,"G") + SUMIFS(FaseGrupos!R:R,FaseGrupos!S:S,Config!E7,FaseGrupos!J:J,1,FaseGrupos!A:A,"G")</f>
        <v>2</v>
      </c>
      <c r="L7" s="3">
        <f ca="1">SUMIFS(FaseGrupos!R:R,FaseGrupos!P:P,Config!E7,FaseGrupos!J:J,1,FaseGrupos!A:A,"G") + SUMIFS(FaseGrupos!Q:Q,FaseGrupos!S:S,Config!E7,FaseGrupos!J:J,1,FaseGrupos!A:A,"G")</f>
        <v>2</v>
      </c>
      <c r="M7" s="3">
        <f t="shared" ca="1" si="4"/>
        <v>0</v>
      </c>
      <c r="N7" s="3">
        <f ca="1">_xlfn.RANK.EQ(F7,F6:F9,0)</f>
        <v>3</v>
      </c>
      <c r="O7" s="3">
        <f ca="1">SUMPRODUCT((N6:N9=N7)*(M6:M9&gt;M7))</f>
        <v>0</v>
      </c>
      <c r="P7" s="3">
        <f ca="1">SUMPRODUCT((N6:N9=N7)*(O6:O9=O7)*(L6:L9&gt;L7))</f>
        <v>0</v>
      </c>
      <c r="Q7" s="3">
        <f ca="1">SUMPRODUCT((N6:N9=N7)*(O6:O9=O7)*(L6:L9=L7)*(FairPlay!C8:C11&gt;FairPlay!C9))</f>
        <v>0</v>
      </c>
      <c r="R7" s="3">
        <f t="shared" ca="1" si="5"/>
        <v>3</v>
      </c>
      <c r="S7" s="3">
        <f ca="1">COUNTIF(R6:R7,R7)-1</f>
        <v>0</v>
      </c>
      <c r="V7" t="s">
        <v>72</v>
      </c>
      <c r="W7">
        <f>W6+Z6*X6/2</f>
        <v>69</v>
      </c>
      <c r="X7">
        <v>1</v>
      </c>
      <c r="Y7">
        <v>1</v>
      </c>
      <c r="Z7">
        <f t="shared" si="8"/>
        <v>0</v>
      </c>
      <c r="AA7" t="s">
        <v>71</v>
      </c>
      <c r="AB7" t="str">
        <f>Traduccion!C56</f>
        <v>Final</v>
      </c>
      <c r="AD7" t="s">
        <v>86</v>
      </c>
      <c r="AE7">
        <v>2</v>
      </c>
      <c r="AF7">
        <v>70</v>
      </c>
      <c r="AG7" t="str">
        <f t="shared" si="6"/>
        <v>CF2</v>
      </c>
      <c r="AH7" t="str">
        <f ca="1">IF(LOOKUP(AG7,FaseGrupos!$AC$7:$AC$52,FaseGrupos!$AG$8:$AG$53)=INDEX($X$14:$X$27,MATCH(AF7,$V$14:$V$27,0)),LOOKUP(AG7,FaseGrupos!$AC$8:$AC$53,FaseGrupos!$AE$8:$AE$53), AE7 &amp; Traduccion!$C$8 &amp; " " &amp; CHAR(Config!AF7))</f>
        <v>México</v>
      </c>
    </row>
    <row r="8" spans="1:34" x14ac:dyDescent="0.25">
      <c r="A8" s="3">
        <f t="shared" ca="1" si="0"/>
        <v>2</v>
      </c>
      <c r="B8" s="3" t="str">
        <f t="shared" si="1"/>
        <v>B3</v>
      </c>
      <c r="C8" s="3">
        <v>66</v>
      </c>
      <c r="D8" s="3">
        <v>3</v>
      </c>
      <c r="E8" s="3" t="str">
        <f ca="1">Traduccion!B70</f>
        <v>Portugal</v>
      </c>
      <c r="F8" s="3">
        <f t="shared" ca="1" si="2"/>
        <v>5</v>
      </c>
      <c r="G8" s="3">
        <f ca="1">SUMIFS(FaseGrupos!J:J,FaseGrupos!P:P,Config!E8,FaseGrupos!A:A,"G") + SUMIFS(FaseGrupos!J:J,FaseGrupos!S:S,Config!E8,FaseGrupos!A:A,"G")</f>
        <v>3</v>
      </c>
      <c r="H8" s="3">
        <f ca="1">COUNTIFS(FaseGrupos!K:K,1,FaseGrupos!P:P,Config!E8,FaseGrupos!J:J,1,FaseGrupos!A:A,"G") + COUNTIFS(FaseGrupos!U:U,1,FaseGrupos!S:S,Config!E8,FaseGrupos!J:J,1,FaseGrupos!A:A,"G")</f>
        <v>1</v>
      </c>
      <c r="I8" s="3">
        <f t="shared" ca="1" si="3"/>
        <v>2</v>
      </c>
      <c r="J8" s="3">
        <f ca="1">COUNTIFS(FaseGrupos!U:U,1,FaseGrupos!P:P,Config!E8,FaseGrupos!J:J,1,FaseGrupos!A:A,"G") + COUNTIFS(FaseGrupos!K:K,1,FaseGrupos!S:S,Config!E8,FaseGrupos!J:J,1,FaseGrupos!A:A,"G")</f>
        <v>0</v>
      </c>
      <c r="K8" s="3">
        <f ca="1">SUMIFS(FaseGrupos!Q:Q,FaseGrupos!P:P,Config!E8,FaseGrupos!J:J,1,FaseGrupos!A:A,"G") + SUMIFS(FaseGrupos!R:R,FaseGrupos!S:S,Config!E8,FaseGrupos!J:J,1,FaseGrupos!A:A,"G")</f>
        <v>5</v>
      </c>
      <c r="L8" s="3">
        <f ca="1">SUMIFS(FaseGrupos!R:R,FaseGrupos!P:P,Config!E8,FaseGrupos!J:J,1,FaseGrupos!A:A,"G") + SUMIFS(FaseGrupos!Q:Q,FaseGrupos!S:S,Config!E8,FaseGrupos!J:J,1,FaseGrupos!A:A,"G")</f>
        <v>4</v>
      </c>
      <c r="M8" s="3">
        <f t="shared" ca="1" si="4"/>
        <v>1</v>
      </c>
      <c r="N8" s="3">
        <f ca="1">_xlfn.RANK.EQ(F8,F6:F9,0)</f>
        <v>1</v>
      </c>
      <c r="O8" s="3">
        <f ca="1">SUMPRODUCT((N6:N9=N8)*(M6:M9&gt;M8))</f>
        <v>0</v>
      </c>
      <c r="P8" s="3">
        <f ca="1">SUMPRODUCT((N6:N9=N8)*(O6:O9=O8)*(L6:L9&gt;L8))</f>
        <v>1</v>
      </c>
      <c r="Q8" s="3">
        <f ca="1">SUMPRODUCT((N6:N9=N8)*(O6:O9=O8)*(L6:L9=L8)*(FairPlay!C8:C11&gt;FairPlay!C10))</f>
        <v>0</v>
      </c>
      <c r="R8" s="3">
        <f t="shared" ca="1" si="5"/>
        <v>2</v>
      </c>
      <c r="S8" s="3">
        <f ca="1">COUNTIF(R6:R8,R8)-1</f>
        <v>0</v>
      </c>
      <c r="V8" t="s">
        <v>73</v>
      </c>
      <c r="W8">
        <f t="shared" si="7"/>
        <v>69</v>
      </c>
      <c r="X8">
        <v>1</v>
      </c>
      <c r="Y8">
        <v>1</v>
      </c>
      <c r="Z8">
        <f t="shared" si="8"/>
        <v>0</v>
      </c>
      <c r="AD8" t="s">
        <v>90</v>
      </c>
      <c r="AE8">
        <v>1</v>
      </c>
      <c r="AF8">
        <v>71</v>
      </c>
      <c r="AG8" t="str">
        <f t="shared" si="6"/>
        <v>CG1</v>
      </c>
      <c r="AH8" t="str">
        <f ca="1">IF(LOOKUP(AG8,FaseGrupos!$AC$7:$AC$52,FaseGrupos!$AG$8:$AG$53)=INDEX($X$14:$X$27,MATCH(AF8,$V$14:$V$27,0)),LOOKUP(AG8,FaseGrupos!$AC$8:$AC$53,FaseGrupos!$AE$8:$AE$53), AE8 &amp; Traduccion!$C$8 &amp; " " &amp; CHAR(Config!AF8))</f>
        <v>Bélgica</v>
      </c>
    </row>
    <row r="9" spans="1:34" x14ac:dyDescent="0.25">
      <c r="A9" s="4">
        <f t="shared" ca="1" si="0"/>
        <v>1</v>
      </c>
      <c r="B9" s="4" t="str">
        <f t="shared" si="1"/>
        <v>B4</v>
      </c>
      <c r="C9" s="4">
        <v>66</v>
      </c>
      <c r="D9" s="4">
        <v>4</v>
      </c>
      <c r="E9" s="4" t="str">
        <f ca="1">Traduccion!B71</f>
        <v>España</v>
      </c>
      <c r="F9" s="4">
        <f t="shared" ca="1" si="2"/>
        <v>5</v>
      </c>
      <c r="G9" s="4">
        <f ca="1">SUMIFS(FaseGrupos!J:J,FaseGrupos!P:P,Config!E9,FaseGrupos!A:A,"G") + SUMIFS(FaseGrupos!J:J,FaseGrupos!S:S,Config!E9,FaseGrupos!A:A,"G")</f>
        <v>3</v>
      </c>
      <c r="H9" s="4">
        <f ca="1">COUNTIFS(FaseGrupos!K:K,1,FaseGrupos!P:P,Config!E9,FaseGrupos!J:J,1,FaseGrupos!A:A,"G") + COUNTIFS(FaseGrupos!U:U,1,FaseGrupos!S:S,Config!E9,FaseGrupos!J:J,1,FaseGrupos!A:A,"G")</f>
        <v>1</v>
      </c>
      <c r="I9" s="4">
        <f t="shared" ca="1" si="3"/>
        <v>2</v>
      </c>
      <c r="J9" s="4">
        <f ca="1">COUNTIFS(FaseGrupos!U:U,1,FaseGrupos!P:P,Config!E9,FaseGrupos!J:J,1,FaseGrupos!A:A,"G") + COUNTIFS(FaseGrupos!K:K,1,FaseGrupos!S:S,Config!E9,FaseGrupos!J:J,1,FaseGrupos!A:A,"G")</f>
        <v>0</v>
      </c>
      <c r="K9" s="4">
        <f ca="1">SUMIFS(FaseGrupos!Q:Q,FaseGrupos!P:P,Config!E9,FaseGrupos!J:J,1,FaseGrupos!A:A,"G") + SUMIFS(FaseGrupos!R:R,FaseGrupos!S:S,Config!E9,FaseGrupos!J:J,1,FaseGrupos!A:A,"G")</f>
        <v>6</v>
      </c>
      <c r="L9" s="4">
        <f ca="1">SUMIFS(FaseGrupos!R:R,FaseGrupos!P:P,Config!E9,FaseGrupos!J:J,1,FaseGrupos!A:A,"G") + SUMIFS(FaseGrupos!Q:Q,FaseGrupos!S:S,Config!E9,FaseGrupos!J:J,1,FaseGrupos!A:A,"G")</f>
        <v>5</v>
      </c>
      <c r="M9" s="4">
        <f t="shared" ca="1" si="4"/>
        <v>1</v>
      </c>
      <c r="N9" s="4">
        <f ca="1">_xlfn.RANK.EQ(F9,F6:F9,0)</f>
        <v>1</v>
      </c>
      <c r="O9" s="4">
        <f ca="1">SUMPRODUCT((N6:N9=N9)*(M6:M9&gt;M9))</f>
        <v>0</v>
      </c>
      <c r="P9" s="4">
        <f ca="1">SUMPRODUCT((N6:N9=N9)*(O6:O9=O9)*(L6:L9&gt;L9))</f>
        <v>0</v>
      </c>
      <c r="Q9" s="4">
        <f ca="1">SUMPRODUCT((N6:N9=N9)*(O6:O9=O9)*(L6:L9=L9)*(FairPlay!C8:C11&gt;FairPlay!C11))</f>
        <v>0</v>
      </c>
      <c r="R9" s="4">
        <f t="shared" ca="1" si="5"/>
        <v>1</v>
      </c>
      <c r="S9" s="4">
        <f ca="1">COUNTIF(R6:R9,R9)-1</f>
        <v>0</v>
      </c>
      <c r="V9" t="s">
        <v>74</v>
      </c>
      <c r="W9">
        <f t="shared" si="7"/>
        <v>69</v>
      </c>
      <c r="X9">
        <v>1</v>
      </c>
      <c r="Y9">
        <v>1</v>
      </c>
      <c r="Z9">
        <f t="shared" si="8"/>
        <v>0</v>
      </c>
      <c r="AD9" t="s">
        <v>87</v>
      </c>
      <c r="AE9">
        <v>2</v>
      </c>
      <c r="AF9">
        <v>72</v>
      </c>
      <c r="AG9" t="str">
        <f t="shared" si="6"/>
        <v>CH2</v>
      </c>
      <c r="AH9" t="str">
        <f ca="1">IF(LOOKUP(AG9,FaseGrupos!$AC$7:$AC$52,FaseGrupos!$AG$8:$AG$53)=INDEX($X$14:$X$27,MATCH(AF9,$V$14:$V$27,0)),LOOKUP(AG9,FaseGrupos!$AC$8:$AC$53,FaseGrupos!$AE$8:$AE$53), AE9 &amp; Traduccion!$C$8 &amp; " " &amp; CHAR(Config!AF9))</f>
        <v>Japón</v>
      </c>
    </row>
    <row r="10" spans="1:34" x14ac:dyDescent="0.25">
      <c r="A10" s="3">
        <f t="shared" ca="1" si="0"/>
        <v>1</v>
      </c>
      <c r="B10" s="3" t="str">
        <f t="shared" si="1"/>
        <v>C1</v>
      </c>
      <c r="C10" s="3">
        <v>67</v>
      </c>
      <c r="D10" s="3">
        <v>1</v>
      </c>
      <c r="E10" s="3" t="str">
        <f ca="1">Traduccion!B72</f>
        <v>Francia</v>
      </c>
      <c r="F10" s="3">
        <f t="shared" ca="1" si="2"/>
        <v>7</v>
      </c>
      <c r="G10" s="3">
        <f ca="1">SUMIFS(FaseGrupos!J:J,FaseGrupos!P:P,Config!E10,FaseGrupos!A:A,"G") + SUMIFS(FaseGrupos!J:J,FaseGrupos!S:S,Config!E10,FaseGrupos!A:A,"G")</f>
        <v>3</v>
      </c>
      <c r="H10" s="3">
        <f ca="1">COUNTIFS(FaseGrupos!K:K,1,FaseGrupos!P:P,Config!E10,FaseGrupos!J:J,1,FaseGrupos!A:A,"G") + COUNTIFS(FaseGrupos!U:U,1,FaseGrupos!S:S,Config!E10,FaseGrupos!J:J,1,FaseGrupos!A:A,"G")</f>
        <v>2</v>
      </c>
      <c r="I10" s="3">
        <f t="shared" ca="1" si="3"/>
        <v>1</v>
      </c>
      <c r="J10" s="3">
        <f ca="1">COUNTIFS(FaseGrupos!U:U,1,FaseGrupos!P:P,Config!E10,FaseGrupos!J:J,1,FaseGrupos!A:A,"G") + COUNTIFS(FaseGrupos!K:K,1,FaseGrupos!S:S,Config!E10,FaseGrupos!J:J,1,FaseGrupos!A:A,"G")</f>
        <v>0</v>
      </c>
      <c r="K10" s="3">
        <f ca="1">SUMIFS(FaseGrupos!Q:Q,FaseGrupos!P:P,Config!E10,FaseGrupos!J:J,1,FaseGrupos!A:A,"G") + SUMIFS(FaseGrupos!R:R,FaseGrupos!S:S,Config!E10,FaseGrupos!J:J,1,FaseGrupos!A:A,"G")</f>
        <v>3</v>
      </c>
      <c r="L10" s="3">
        <f ca="1">SUMIFS(FaseGrupos!R:R,FaseGrupos!P:P,Config!E10,FaseGrupos!J:J,1,FaseGrupos!A:A,"G") + SUMIFS(FaseGrupos!Q:Q,FaseGrupos!S:S,Config!E10,FaseGrupos!J:J,1,FaseGrupos!A:A,"G")</f>
        <v>1</v>
      </c>
      <c r="M10" s="3">
        <f t="shared" ca="1" si="4"/>
        <v>2</v>
      </c>
      <c r="N10" s="3">
        <f ca="1">_xlfn.RANK.EQ(F10,F10:F13,0)</f>
        <v>1</v>
      </c>
      <c r="O10" s="3">
        <f ca="1">SUMPRODUCT((N10:N13=N10)*(M10:M13&gt;M10))</f>
        <v>0</v>
      </c>
      <c r="P10" s="3">
        <f ca="1">SUMPRODUCT((N10:N13=N10)*(O10:O13=O10)*(L10:L13&gt;L10))</f>
        <v>0</v>
      </c>
      <c r="Q10" s="3">
        <f ca="1">SUMPRODUCT((N10:N13=N10)*(O10:O13=O10)*(L10:L13=L10)*(FairPlay!C12:C15&gt;FairPlay!C12))</f>
        <v>0</v>
      </c>
      <c r="R10" s="3">
        <f t="shared" ca="1" si="5"/>
        <v>1</v>
      </c>
      <c r="S10" s="3">
        <f ca="1">COUNTIF(R10:R10,R10)-1</f>
        <v>0</v>
      </c>
      <c r="V10" t="s">
        <v>75</v>
      </c>
      <c r="W10">
        <f t="shared" si="7"/>
        <v>69</v>
      </c>
      <c r="X10">
        <v>1</v>
      </c>
      <c r="Y10">
        <v>1</v>
      </c>
      <c r="Z10">
        <f t="shared" si="8"/>
        <v>0</v>
      </c>
      <c r="AD10" t="s">
        <v>91</v>
      </c>
      <c r="AE10">
        <v>1</v>
      </c>
      <c r="AF10">
        <v>66</v>
      </c>
      <c r="AG10" t="str">
        <f t="shared" si="6"/>
        <v>CB1</v>
      </c>
      <c r="AH10" t="str">
        <f ca="1">IF(LOOKUP(AG10,FaseGrupos!$AC$7:$AC$52,FaseGrupos!$AG$8:$AG$53)=INDEX($X$14:$X$27,MATCH(AF10,$V$14:$V$27,0)),LOOKUP(AG10,FaseGrupos!$AC$8:$AC$53,FaseGrupos!$AE$8:$AE$53), AE10 &amp; Traduccion!$C$8 &amp; " " &amp; CHAR(Config!AF10))</f>
        <v>España</v>
      </c>
    </row>
    <row r="11" spans="1:34" x14ac:dyDescent="0.25">
      <c r="A11" s="3">
        <f t="shared" ca="1" si="0"/>
        <v>4</v>
      </c>
      <c r="B11" s="3" t="str">
        <f t="shared" si="1"/>
        <v>C2</v>
      </c>
      <c r="C11" s="3">
        <v>67</v>
      </c>
      <c r="D11" s="3">
        <v>2</v>
      </c>
      <c r="E11" s="3" t="str">
        <f ca="1">Traduccion!B73</f>
        <v>Australia</v>
      </c>
      <c r="F11" s="3">
        <f t="shared" ca="1" si="2"/>
        <v>1</v>
      </c>
      <c r="G11" s="3">
        <f ca="1">SUMIFS(FaseGrupos!J:J,FaseGrupos!P:P,Config!E11,FaseGrupos!A:A,"G") + SUMIFS(FaseGrupos!J:J,FaseGrupos!S:S,Config!E11,FaseGrupos!A:A,"G")</f>
        <v>3</v>
      </c>
      <c r="H11" s="3">
        <f ca="1">COUNTIFS(FaseGrupos!K:K,1,FaseGrupos!P:P,Config!E11,FaseGrupos!J:J,1,FaseGrupos!A:A,"G") + COUNTIFS(FaseGrupos!U:U,1,FaseGrupos!S:S,Config!E11,FaseGrupos!J:J,1,FaseGrupos!A:A,"G")</f>
        <v>0</v>
      </c>
      <c r="I11" s="3">
        <f t="shared" ca="1" si="3"/>
        <v>1</v>
      </c>
      <c r="J11" s="3">
        <f ca="1">COUNTIFS(FaseGrupos!U:U,1,FaseGrupos!P:P,Config!E11,FaseGrupos!J:J,1,FaseGrupos!A:A,"G") + COUNTIFS(FaseGrupos!K:K,1,FaseGrupos!S:S,Config!E11,FaseGrupos!J:J,1,FaseGrupos!A:A,"G")</f>
        <v>2</v>
      </c>
      <c r="K11" s="3">
        <f ca="1">SUMIFS(FaseGrupos!Q:Q,FaseGrupos!P:P,Config!E11,FaseGrupos!J:J,1,FaseGrupos!A:A,"G") + SUMIFS(FaseGrupos!R:R,FaseGrupos!S:S,Config!E11,FaseGrupos!J:J,1,FaseGrupos!A:A,"G")</f>
        <v>2</v>
      </c>
      <c r="L11" s="3">
        <f ca="1">SUMIFS(FaseGrupos!R:R,FaseGrupos!P:P,Config!E11,FaseGrupos!J:J,1,FaseGrupos!A:A,"G") + SUMIFS(FaseGrupos!Q:Q,FaseGrupos!S:S,Config!E11,FaseGrupos!J:J,1,FaseGrupos!A:A,"G")</f>
        <v>5</v>
      </c>
      <c r="M11" s="3">
        <f t="shared" ca="1" si="4"/>
        <v>-3</v>
      </c>
      <c r="N11" s="3">
        <f ca="1">_xlfn.RANK.EQ(F11,F10:F13,0)</f>
        <v>4</v>
      </c>
      <c r="O11" s="3">
        <f ca="1">SUMPRODUCT((N10:N13=N11)*(M10:M13&gt;M11))</f>
        <v>0</v>
      </c>
      <c r="P11" s="3">
        <f ca="1">SUMPRODUCT((N10:N13=N11)*(O10:O13=O11)*(L10:L13&gt;L11))</f>
        <v>0</v>
      </c>
      <c r="Q11" s="3">
        <f ca="1">SUMPRODUCT((N10:N13=N11)*(O10:O13=O11)*(L10:L13=L11)*(FairPlay!C12:C15&gt;FairPlay!C13))</f>
        <v>0</v>
      </c>
      <c r="R11" s="3">
        <f t="shared" ca="1" si="5"/>
        <v>4</v>
      </c>
      <c r="S11" s="3">
        <f ca="1">COUNTIF(R10:R11,R11)-1</f>
        <v>0</v>
      </c>
      <c r="V11" t="s">
        <v>76</v>
      </c>
      <c r="W11">
        <f t="shared" si="7"/>
        <v>69</v>
      </c>
      <c r="X11">
        <v>1</v>
      </c>
      <c r="Y11">
        <v>1</v>
      </c>
      <c r="Z11">
        <f t="shared" si="8"/>
        <v>0</v>
      </c>
      <c r="AD11" t="s">
        <v>92</v>
      </c>
      <c r="AE11">
        <v>2</v>
      </c>
      <c r="AF11">
        <v>65</v>
      </c>
      <c r="AG11" t="str">
        <f t="shared" si="6"/>
        <v>CA2</v>
      </c>
      <c r="AH11" t="str">
        <f ca="1">IF(LOOKUP(AG11,FaseGrupos!$AC$7:$AC$52,FaseGrupos!$AG$8:$AG$53)=INDEX($X$14:$X$27,MATCH(AF11,$V$14:$V$27,0)),LOOKUP(AG11,FaseGrupos!$AC$8:$AC$53,FaseGrupos!$AE$8:$AE$53), AE11 &amp; Traduccion!$C$8 &amp; " " &amp; CHAR(Config!AF11))</f>
        <v>Rusia</v>
      </c>
    </row>
    <row r="12" spans="1:34" x14ac:dyDescent="0.25">
      <c r="A12" s="3">
        <f t="shared" ca="1" si="0"/>
        <v>3</v>
      </c>
      <c r="B12" s="3" t="str">
        <f t="shared" si="1"/>
        <v>C3</v>
      </c>
      <c r="C12" s="3">
        <v>67</v>
      </c>
      <c r="D12" s="3">
        <v>3</v>
      </c>
      <c r="E12" s="3" t="str">
        <f ca="1">Traduccion!B74</f>
        <v>Perú</v>
      </c>
      <c r="F12" s="3">
        <f t="shared" ca="1" si="2"/>
        <v>3</v>
      </c>
      <c r="G12" s="3">
        <f ca="1">SUMIFS(FaseGrupos!J:J,FaseGrupos!P:P,Config!E12,FaseGrupos!A:A,"G") + SUMIFS(FaseGrupos!J:J,FaseGrupos!S:S,Config!E12,FaseGrupos!A:A,"G")</f>
        <v>3</v>
      </c>
      <c r="H12" s="3">
        <f ca="1">COUNTIFS(FaseGrupos!K:K,1,FaseGrupos!P:P,Config!E12,FaseGrupos!J:J,1,FaseGrupos!A:A,"G") + COUNTIFS(FaseGrupos!U:U,1,FaseGrupos!S:S,Config!E12,FaseGrupos!J:J,1,FaseGrupos!A:A,"G")</f>
        <v>1</v>
      </c>
      <c r="I12" s="3">
        <f t="shared" ca="1" si="3"/>
        <v>0</v>
      </c>
      <c r="J12" s="3">
        <f ca="1">COUNTIFS(FaseGrupos!U:U,1,FaseGrupos!P:P,Config!E12,FaseGrupos!J:J,1,FaseGrupos!A:A,"G") + COUNTIFS(FaseGrupos!K:K,1,FaseGrupos!S:S,Config!E12,FaseGrupos!J:J,1,FaseGrupos!A:A,"G")</f>
        <v>2</v>
      </c>
      <c r="K12" s="3">
        <f ca="1">SUMIFS(FaseGrupos!Q:Q,FaseGrupos!P:P,Config!E12,FaseGrupos!J:J,1,FaseGrupos!A:A,"G") + SUMIFS(FaseGrupos!R:R,FaseGrupos!S:S,Config!E12,FaseGrupos!J:J,1,FaseGrupos!A:A,"G")</f>
        <v>2</v>
      </c>
      <c r="L12" s="3">
        <f ca="1">SUMIFS(FaseGrupos!R:R,FaseGrupos!P:P,Config!E12,FaseGrupos!J:J,1,FaseGrupos!A:A,"G") + SUMIFS(FaseGrupos!Q:Q,FaseGrupos!S:S,Config!E12,FaseGrupos!J:J,1,FaseGrupos!A:A,"G")</f>
        <v>2</v>
      </c>
      <c r="M12" s="3">
        <f t="shared" ca="1" si="4"/>
        <v>0</v>
      </c>
      <c r="N12" s="3">
        <f ca="1">_xlfn.RANK.EQ(F12,F10:F13,0)</f>
        <v>3</v>
      </c>
      <c r="O12" s="3">
        <f ca="1">SUMPRODUCT((N10:N13=N12)*(M10:M13&gt;M12))</f>
        <v>0</v>
      </c>
      <c r="P12" s="3">
        <f ca="1">SUMPRODUCT((N10:N13=N12)*(O10:O13=O12)*(L10:L13&gt;L12))</f>
        <v>0</v>
      </c>
      <c r="Q12" s="3">
        <f ca="1">SUMPRODUCT((N10:N13=N12)*(O10:O13=O12)*(L10:L13=L12)*(FairPlay!C12:C15&gt;FairPlay!C14))</f>
        <v>0</v>
      </c>
      <c r="R12" s="3">
        <f t="shared" ca="1" si="5"/>
        <v>3</v>
      </c>
      <c r="S12" s="3">
        <f ca="1">COUNTIF(R10:R12,R12)-1</f>
        <v>0</v>
      </c>
      <c r="AD12" t="s">
        <v>93</v>
      </c>
      <c r="AE12">
        <v>1</v>
      </c>
      <c r="AF12">
        <v>68</v>
      </c>
      <c r="AG12" t="str">
        <f t="shared" si="6"/>
        <v>CD1</v>
      </c>
      <c r="AH12" t="str">
        <f ca="1">IF(LOOKUP(AG12,FaseGrupos!$AC$7:$AC$52,FaseGrupos!$AG$8:$AG$53)=INDEX($X$14:$X$27,MATCH(AF12,$V$14:$V$27,0)),LOOKUP(AG12,FaseGrupos!$AC$8:$AC$53,FaseGrupos!$AE$8:$AE$53), AE12 &amp; Traduccion!$C$8 &amp; " " &amp; CHAR(Config!AF12))</f>
        <v>Croacia</v>
      </c>
    </row>
    <row r="13" spans="1:34" x14ac:dyDescent="0.25">
      <c r="A13" s="4">
        <f t="shared" ca="1" si="0"/>
        <v>2</v>
      </c>
      <c r="B13" s="4" t="str">
        <f t="shared" si="1"/>
        <v>C4</v>
      </c>
      <c r="C13" s="4">
        <v>67</v>
      </c>
      <c r="D13" s="4">
        <v>4</v>
      </c>
      <c r="E13" s="4" t="str">
        <f ca="1">Traduccion!B75</f>
        <v>Dinamarca</v>
      </c>
      <c r="F13" s="4">
        <f t="shared" ca="1" si="2"/>
        <v>5</v>
      </c>
      <c r="G13" s="4">
        <f ca="1">SUMIFS(FaseGrupos!J:J,FaseGrupos!P:P,Config!E13,FaseGrupos!A:A,"G") + SUMIFS(FaseGrupos!J:J,FaseGrupos!S:S,Config!E13,FaseGrupos!A:A,"G")</f>
        <v>3</v>
      </c>
      <c r="H13" s="4">
        <f ca="1">COUNTIFS(FaseGrupos!K:K,1,FaseGrupos!P:P,Config!E13,FaseGrupos!J:J,1,FaseGrupos!A:A,"G") + COUNTIFS(FaseGrupos!U:U,1,FaseGrupos!S:S,Config!E13,FaseGrupos!J:J,1,FaseGrupos!A:A,"G")</f>
        <v>1</v>
      </c>
      <c r="I13" s="4">
        <f t="shared" ca="1" si="3"/>
        <v>2</v>
      </c>
      <c r="J13" s="4">
        <f ca="1">COUNTIFS(FaseGrupos!U:U,1,FaseGrupos!P:P,Config!E13,FaseGrupos!J:J,1,FaseGrupos!A:A,"G") + COUNTIFS(FaseGrupos!K:K,1,FaseGrupos!S:S,Config!E13,FaseGrupos!J:J,1,FaseGrupos!A:A,"G")</f>
        <v>0</v>
      </c>
      <c r="K13" s="4">
        <f ca="1">SUMIFS(FaseGrupos!Q:Q,FaseGrupos!P:P,Config!E13,FaseGrupos!J:J,1,FaseGrupos!A:A,"G") + SUMIFS(FaseGrupos!R:R,FaseGrupos!S:S,Config!E13,FaseGrupos!J:J,1,FaseGrupos!A:A,"G")</f>
        <v>2</v>
      </c>
      <c r="L13" s="4">
        <f ca="1">SUMIFS(FaseGrupos!R:R,FaseGrupos!P:P,Config!E13,FaseGrupos!J:J,1,FaseGrupos!A:A,"G") + SUMIFS(FaseGrupos!Q:Q,FaseGrupos!S:S,Config!E13,FaseGrupos!J:J,1,FaseGrupos!A:A,"G")</f>
        <v>1</v>
      </c>
      <c r="M13" s="4">
        <f t="shared" ca="1" si="4"/>
        <v>1</v>
      </c>
      <c r="N13" s="4">
        <f ca="1">_xlfn.RANK.EQ(F13,F10:F13,0)</f>
        <v>2</v>
      </c>
      <c r="O13" s="4">
        <f ca="1">SUMPRODUCT((N10:N13=N13)*(M10:M13&gt;M13))</f>
        <v>0</v>
      </c>
      <c r="P13" s="4">
        <f ca="1">SUMPRODUCT((N10:N13=N13)*(O10:O13=O13)*(L10:L13&gt;L13))</f>
        <v>0</v>
      </c>
      <c r="Q13" s="4">
        <f ca="1">SUMPRODUCT((N10:N13=N13)*(O10:O13=O13)*(L10:L13=L13)*(FairPlay!C12:C15&gt;FairPlay!C15))</f>
        <v>0</v>
      </c>
      <c r="R13" s="4">
        <f t="shared" ca="1" si="5"/>
        <v>2</v>
      </c>
      <c r="S13" s="4">
        <f ca="1">COUNTIF(R10:R13,R13)-1</f>
        <v>0</v>
      </c>
      <c r="V13" t="s">
        <v>63</v>
      </c>
      <c r="W13" t="s">
        <v>77</v>
      </c>
      <c r="X13" t="s">
        <v>78</v>
      </c>
      <c r="Y13" t="s">
        <v>79</v>
      </c>
      <c r="Z13" t="s">
        <v>80</v>
      </c>
      <c r="AA13" t="s">
        <v>218</v>
      </c>
      <c r="AD13" t="s">
        <v>94</v>
      </c>
      <c r="AE13">
        <v>2</v>
      </c>
      <c r="AF13">
        <v>67</v>
      </c>
      <c r="AG13" t="str">
        <f t="shared" si="6"/>
        <v>CC2</v>
      </c>
      <c r="AH13" t="str">
        <f ca="1">IF(LOOKUP(AG13,FaseGrupos!$AC$7:$AC$52,FaseGrupos!$AG$8:$AG$53)=INDEX($X$14:$X$27,MATCH(AF13,$V$14:$V$27,0)),LOOKUP(AG13,FaseGrupos!$AC$8:$AC$53,FaseGrupos!$AE$8:$AE$53), AE13 &amp; Traduccion!$C$8 &amp; " " &amp; CHAR(Config!AF13))</f>
        <v>Dinamarca</v>
      </c>
    </row>
    <row r="14" spans="1:34" x14ac:dyDescent="0.25">
      <c r="A14" s="3">
        <f t="shared" ca="1" si="0"/>
        <v>2</v>
      </c>
      <c r="B14" s="3" t="str">
        <f t="shared" si="1"/>
        <v>D1</v>
      </c>
      <c r="C14" s="3">
        <v>68</v>
      </c>
      <c r="D14" s="3">
        <v>1</v>
      </c>
      <c r="E14" s="3" t="str">
        <f ca="1">Traduccion!B76</f>
        <v>Argentina</v>
      </c>
      <c r="F14" s="3">
        <f t="shared" ca="1" si="2"/>
        <v>4</v>
      </c>
      <c r="G14" s="3">
        <f ca="1">SUMIFS(FaseGrupos!J:J,FaseGrupos!P:P,Config!E14,FaseGrupos!A:A,"G") + SUMIFS(FaseGrupos!J:J,FaseGrupos!S:S,Config!E14,FaseGrupos!A:A,"G")</f>
        <v>3</v>
      </c>
      <c r="H14" s="3">
        <f ca="1">COUNTIFS(FaseGrupos!K:K,1,FaseGrupos!P:P,Config!E14,FaseGrupos!J:J,1,FaseGrupos!A:A,"G") + COUNTIFS(FaseGrupos!U:U,1,FaseGrupos!S:S,Config!E14,FaseGrupos!J:J,1,FaseGrupos!A:A,"G")</f>
        <v>1</v>
      </c>
      <c r="I14" s="3">
        <f t="shared" ca="1" si="3"/>
        <v>1</v>
      </c>
      <c r="J14" s="3">
        <f ca="1">COUNTIFS(FaseGrupos!U:U,1,FaseGrupos!P:P,Config!E14,FaseGrupos!J:J,1,FaseGrupos!A:A,"G") + COUNTIFS(FaseGrupos!K:K,1,FaseGrupos!S:S,Config!E14,FaseGrupos!J:J,1,FaseGrupos!A:A,"G")</f>
        <v>1</v>
      </c>
      <c r="K14" s="3">
        <f ca="1">SUMIFS(FaseGrupos!Q:Q,FaseGrupos!P:P,Config!E14,FaseGrupos!J:J,1,FaseGrupos!A:A,"G") + SUMIFS(FaseGrupos!R:R,FaseGrupos!S:S,Config!E14,FaseGrupos!J:J,1,FaseGrupos!A:A,"G")</f>
        <v>3</v>
      </c>
      <c r="L14" s="3">
        <f ca="1">SUMIFS(FaseGrupos!R:R,FaseGrupos!P:P,Config!E14,FaseGrupos!J:J,1,FaseGrupos!A:A,"G") + SUMIFS(FaseGrupos!Q:Q,FaseGrupos!S:S,Config!E14,FaseGrupos!J:J,1,FaseGrupos!A:A,"G")</f>
        <v>5</v>
      </c>
      <c r="M14" s="3">
        <f t="shared" ca="1" si="4"/>
        <v>-2</v>
      </c>
      <c r="N14" s="3">
        <f ca="1">_xlfn.RANK.EQ(F14,F14:F17,0)</f>
        <v>2</v>
      </c>
      <c r="O14" s="3">
        <f ca="1">SUMPRODUCT((N14:N17=N14)*(M14:M17&gt;M14))</f>
        <v>0</v>
      </c>
      <c r="P14" s="3">
        <f ca="1">SUMPRODUCT((N14:N17=N14)*(O14:O17=O14)*(L14:L17&gt;L14))</f>
        <v>0</v>
      </c>
      <c r="Q14" s="3">
        <f ca="1">SUMPRODUCT((N14:N17=N14)*(O14:O17=O14)*(L14:L17=L14)*(FairPlay!C16:C19&gt;FairPlay!C16))</f>
        <v>0</v>
      </c>
      <c r="R14" s="3">
        <f t="shared" ca="1" si="5"/>
        <v>2</v>
      </c>
      <c r="S14" s="3">
        <f ca="1">COUNTIF(R14:R14,R14)-1</f>
        <v>0</v>
      </c>
      <c r="V14">
        <v>65</v>
      </c>
      <c r="W14" s="3">
        <f t="shared" ref="W14:W27" si="9">COUNTIF(C:C,V14)</f>
        <v>4</v>
      </c>
      <c r="X14" s="3">
        <f>MAX((W14-1)*$X$2,0)</f>
        <v>3</v>
      </c>
      <c r="Y14">
        <f>W14*X14/2</f>
        <v>6</v>
      </c>
      <c r="Z14">
        <v>2</v>
      </c>
      <c r="AA14" t="str">
        <f ca="1">IF(W14&lt;&gt;0,Traduccion!$B$9 &amp;  " " &amp; CHAR(Config!V14),"")</f>
        <v>Grupo A</v>
      </c>
      <c r="AD14" t="s">
        <v>95</v>
      </c>
      <c r="AE14">
        <v>1</v>
      </c>
      <c r="AF14">
        <v>70</v>
      </c>
      <c r="AG14" t="str">
        <f t="shared" si="6"/>
        <v>CF1</v>
      </c>
      <c r="AH14" t="str">
        <f ca="1">IF(LOOKUP(AG14,FaseGrupos!$AC$7:$AC$52,FaseGrupos!$AG$8:$AG$53)=INDEX($X$14:$X$27,MATCH(AF14,$V$14:$V$27,0)),LOOKUP(AG14,FaseGrupos!$AC$8:$AC$53,FaseGrupos!$AE$8:$AE$53), AE14 &amp; Traduccion!$C$8 &amp; " " &amp; CHAR(Config!AF14))</f>
        <v>Suecia</v>
      </c>
    </row>
    <row r="15" spans="1:34" x14ac:dyDescent="0.25">
      <c r="A15" s="3">
        <f t="shared" ca="1" si="0"/>
        <v>4</v>
      </c>
      <c r="B15" s="3" t="str">
        <f t="shared" si="1"/>
        <v>D2</v>
      </c>
      <c r="C15" s="3">
        <v>68</v>
      </c>
      <c r="D15" s="3">
        <v>2</v>
      </c>
      <c r="E15" s="3" t="str">
        <f ca="1">Traduccion!B77</f>
        <v>Islandia</v>
      </c>
      <c r="F15" s="3">
        <f t="shared" ca="1" si="2"/>
        <v>1</v>
      </c>
      <c r="G15" s="3">
        <f ca="1">SUMIFS(FaseGrupos!J:J,FaseGrupos!P:P,Config!E15,FaseGrupos!A:A,"G") + SUMIFS(FaseGrupos!J:J,FaseGrupos!S:S,Config!E15,FaseGrupos!A:A,"G")</f>
        <v>3</v>
      </c>
      <c r="H15" s="3">
        <f ca="1">COUNTIFS(FaseGrupos!K:K,1,FaseGrupos!P:P,Config!E15,FaseGrupos!J:J,1,FaseGrupos!A:A,"G") + COUNTIFS(FaseGrupos!U:U,1,FaseGrupos!S:S,Config!E15,FaseGrupos!J:J,1,FaseGrupos!A:A,"G")</f>
        <v>0</v>
      </c>
      <c r="I15" s="3">
        <f t="shared" ca="1" si="3"/>
        <v>1</v>
      </c>
      <c r="J15" s="3">
        <f ca="1">COUNTIFS(FaseGrupos!U:U,1,FaseGrupos!P:P,Config!E15,FaseGrupos!J:J,1,FaseGrupos!A:A,"G") + COUNTIFS(FaseGrupos!K:K,1,FaseGrupos!S:S,Config!E15,FaseGrupos!J:J,1,FaseGrupos!A:A,"G")</f>
        <v>2</v>
      </c>
      <c r="K15" s="3">
        <f ca="1">SUMIFS(FaseGrupos!Q:Q,FaseGrupos!P:P,Config!E15,FaseGrupos!J:J,1,FaseGrupos!A:A,"G") + SUMIFS(FaseGrupos!R:R,FaseGrupos!S:S,Config!E15,FaseGrupos!J:J,1,FaseGrupos!A:A,"G")</f>
        <v>2</v>
      </c>
      <c r="L15" s="3">
        <f ca="1">SUMIFS(FaseGrupos!R:R,FaseGrupos!P:P,Config!E15,FaseGrupos!J:J,1,FaseGrupos!A:A,"G") + SUMIFS(FaseGrupos!Q:Q,FaseGrupos!S:S,Config!E15,FaseGrupos!J:J,1,FaseGrupos!A:A,"G")</f>
        <v>5</v>
      </c>
      <c r="M15" s="3">
        <f t="shared" ca="1" si="4"/>
        <v>-3</v>
      </c>
      <c r="N15" s="3">
        <f ca="1">_xlfn.RANK.EQ(F15,F14:F17,0)</f>
        <v>4</v>
      </c>
      <c r="O15" s="3">
        <f ca="1">SUMPRODUCT((N14:N17=N15)*(M14:M17&gt;M15))</f>
        <v>0</v>
      </c>
      <c r="P15" s="3">
        <f ca="1">SUMPRODUCT((N14:N17=N15)*(O14:O17=O15)*(L14:L17&gt;L15))</f>
        <v>0</v>
      </c>
      <c r="Q15" s="3">
        <f ca="1">SUMPRODUCT((N14:N17=N15)*(O14:O17=O15)*(L14:L17=L15)*(FairPlay!C16:C19&gt;FairPlay!C17))</f>
        <v>0</v>
      </c>
      <c r="R15" s="3">
        <f t="shared" ca="1" si="5"/>
        <v>4</v>
      </c>
      <c r="S15" s="3">
        <f ca="1">COUNTIF(R14:R15,R15)-1</f>
        <v>0</v>
      </c>
      <c r="V15" s="3">
        <f>IF(V14&lt;MAX(C:C),V14+1,0)</f>
        <v>66</v>
      </c>
      <c r="W15" s="3">
        <f t="shared" si="9"/>
        <v>4</v>
      </c>
      <c r="X15" s="3">
        <f t="shared" ref="X15:X27" si="10">MAX((W15-1)*$X$2,0)</f>
        <v>3</v>
      </c>
      <c r="Y15">
        <f t="shared" ref="Y15:Y27" si="11">W15*X15/2</f>
        <v>6</v>
      </c>
      <c r="Z15">
        <v>2</v>
      </c>
      <c r="AA15" t="str">
        <f ca="1">IF(W15&lt;&gt;0,Traduccion!$B$9 &amp;  " " &amp; CHAR(Config!V15),"")</f>
        <v>Grupo B</v>
      </c>
      <c r="AD15" t="s">
        <v>96</v>
      </c>
      <c r="AE15">
        <v>2</v>
      </c>
      <c r="AF15">
        <v>69</v>
      </c>
      <c r="AG15" t="str">
        <f t="shared" si="6"/>
        <v>CE2</v>
      </c>
      <c r="AH15" t="str">
        <f ca="1">IF(LOOKUP(AG15,FaseGrupos!$AC$7:$AC$52,FaseGrupos!$AG$8:$AG$53)=INDEX($X$14:$X$27,MATCH(AF15,$V$14:$V$27,0)),LOOKUP(AG15,FaseGrupos!$AC$8:$AC$53,FaseGrupos!$AE$8:$AE$53), AE15 &amp; Traduccion!$C$8 &amp; " " &amp; CHAR(Config!AF15))</f>
        <v>Suiza</v>
      </c>
    </row>
    <row r="16" spans="1:34" x14ac:dyDescent="0.25">
      <c r="A16" s="3">
        <f t="shared" ca="1" si="0"/>
        <v>1</v>
      </c>
      <c r="B16" s="3" t="str">
        <f t="shared" si="1"/>
        <v>D3</v>
      </c>
      <c r="C16" s="3">
        <v>68</v>
      </c>
      <c r="D16" s="3">
        <v>3</v>
      </c>
      <c r="E16" s="3" t="str">
        <f ca="1">Traduccion!B78</f>
        <v>Croacia</v>
      </c>
      <c r="F16" s="3">
        <f t="shared" ca="1" si="2"/>
        <v>9</v>
      </c>
      <c r="G16" s="3">
        <f ca="1">SUMIFS(FaseGrupos!J:J,FaseGrupos!P:P,Config!E16,FaseGrupos!A:A,"G") + SUMIFS(FaseGrupos!J:J,FaseGrupos!S:S,Config!E16,FaseGrupos!A:A,"G")</f>
        <v>3</v>
      </c>
      <c r="H16" s="3">
        <f ca="1">COUNTIFS(FaseGrupos!K:K,1,FaseGrupos!P:P,Config!E16,FaseGrupos!J:J,1,FaseGrupos!A:A,"G") + COUNTIFS(FaseGrupos!U:U,1,FaseGrupos!S:S,Config!E16,FaseGrupos!J:J,1,FaseGrupos!A:A,"G")</f>
        <v>3</v>
      </c>
      <c r="I16" s="3">
        <f t="shared" ca="1" si="3"/>
        <v>0</v>
      </c>
      <c r="J16" s="3">
        <f ca="1">COUNTIFS(FaseGrupos!U:U,1,FaseGrupos!P:P,Config!E16,FaseGrupos!J:J,1,FaseGrupos!A:A,"G") + COUNTIFS(FaseGrupos!K:K,1,FaseGrupos!S:S,Config!E16,FaseGrupos!J:J,1,FaseGrupos!A:A,"G")</f>
        <v>0</v>
      </c>
      <c r="K16" s="3">
        <f ca="1">SUMIFS(FaseGrupos!Q:Q,FaseGrupos!P:P,Config!E16,FaseGrupos!J:J,1,FaseGrupos!A:A,"G") + SUMIFS(FaseGrupos!R:R,FaseGrupos!S:S,Config!E16,FaseGrupos!J:J,1,FaseGrupos!A:A,"G")</f>
        <v>7</v>
      </c>
      <c r="L16" s="3">
        <f ca="1">SUMIFS(FaseGrupos!R:R,FaseGrupos!P:P,Config!E16,FaseGrupos!J:J,1,FaseGrupos!A:A,"G") + SUMIFS(FaseGrupos!Q:Q,FaseGrupos!S:S,Config!E16,FaseGrupos!J:J,1,FaseGrupos!A:A,"G")</f>
        <v>1</v>
      </c>
      <c r="M16" s="3">
        <f t="shared" ca="1" si="4"/>
        <v>6</v>
      </c>
      <c r="N16" s="3">
        <f ca="1">_xlfn.RANK.EQ(F16,F14:F17,0)</f>
        <v>1</v>
      </c>
      <c r="O16" s="3">
        <f ca="1">SUMPRODUCT((N14:N17=N16)*(M14:M17&gt;M16))</f>
        <v>0</v>
      </c>
      <c r="P16" s="3">
        <f ca="1">SUMPRODUCT((N14:N17=N16)*(O14:O17=O16)*(L14:L17&gt;L16))</f>
        <v>0</v>
      </c>
      <c r="Q16" s="3">
        <f ca="1">SUMPRODUCT((N14:N17=N16)*(O14:O17=O16)*(L14:L17=L16)*(FairPlay!C16:C19&gt;FairPlay!C18))</f>
        <v>0</v>
      </c>
      <c r="R16" s="3">
        <f t="shared" ca="1" si="5"/>
        <v>1</v>
      </c>
      <c r="S16" s="3">
        <f ca="1">COUNTIF(R14:R16,R16)-1</f>
        <v>0</v>
      </c>
      <c r="V16" s="3">
        <f t="shared" ref="V16:V27" si="12">IF(V15&lt;MAX(C:C),V15+1,0)</f>
        <v>67</v>
      </c>
      <c r="W16" s="3">
        <f t="shared" si="9"/>
        <v>4</v>
      </c>
      <c r="X16" s="3">
        <f t="shared" si="10"/>
        <v>3</v>
      </c>
      <c r="Y16">
        <f t="shared" si="11"/>
        <v>6</v>
      </c>
      <c r="Z16">
        <v>2</v>
      </c>
      <c r="AA16" t="str">
        <f ca="1">IF(W16&lt;&gt;0,Traduccion!$B$9 &amp;  " " &amp; CHAR(Config!V16),"")</f>
        <v>Grupo C</v>
      </c>
      <c r="AD16" t="s">
        <v>97</v>
      </c>
      <c r="AE16">
        <v>1</v>
      </c>
      <c r="AF16">
        <v>72</v>
      </c>
      <c r="AG16" t="str">
        <f t="shared" si="6"/>
        <v>CH1</v>
      </c>
      <c r="AH16" t="str">
        <f ca="1">IF(LOOKUP(AG16,FaseGrupos!$AC$7:$AC$52,FaseGrupos!$AG$8:$AG$53)=INDEX($X$14:$X$27,MATCH(AF16,$V$14:$V$27,0)),LOOKUP(AG16,FaseGrupos!$AC$8:$AC$53,FaseGrupos!$AE$8:$AE$53), AE16 &amp; Traduccion!$C$8 &amp; " " &amp; CHAR(Config!AF16))</f>
        <v>Colombia</v>
      </c>
    </row>
    <row r="17" spans="1:34" x14ac:dyDescent="0.25">
      <c r="A17" s="4">
        <f t="shared" ca="1" si="0"/>
        <v>3</v>
      </c>
      <c r="B17" s="4" t="str">
        <f t="shared" si="1"/>
        <v>D4</v>
      </c>
      <c r="C17" s="4">
        <v>68</v>
      </c>
      <c r="D17" s="4">
        <v>4</v>
      </c>
      <c r="E17" s="4" t="str">
        <f ca="1">Traduccion!B79</f>
        <v>Nigeria</v>
      </c>
      <c r="F17" s="4">
        <f t="shared" ca="1" si="2"/>
        <v>3</v>
      </c>
      <c r="G17" s="4">
        <f ca="1">SUMIFS(FaseGrupos!J:J,FaseGrupos!P:P,Config!E17,FaseGrupos!A:A,"G") + SUMIFS(FaseGrupos!J:J,FaseGrupos!S:S,Config!E17,FaseGrupos!A:A,"G")</f>
        <v>3</v>
      </c>
      <c r="H17" s="4">
        <f ca="1">COUNTIFS(FaseGrupos!K:K,1,FaseGrupos!P:P,Config!E17,FaseGrupos!J:J,1,FaseGrupos!A:A,"G") + COUNTIFS(FaseGrupos!U:U,1,FaseGrupos!S:S,Config!E17,FaseGrupos!J:J,1,FaseGrupos!A:A,"G")</f>
        <v>1</v>
      </c>
      <c r="I17" s="4">
        <f t="shared" ca="1" si="3"/>
        <v>0</v>
      </c>
      <c r="J17" s="4">
        <f ca="1">COUNTIFS(FaseGrupos!U:U,1,FaseGrupos!P:P,Config!E17,FaseGrupos!J:J,1,FaseGrupos!A:A,"G") + COUNTIFS(FaseGrupos!K:K,1,FaseGrupos!S:S,Config!E17,FaseGrupos!J:J,1,FaseGrupos!A:A,"G")</f>
        <v>2</v>
      </c>
      <c r="K17" s="4">
        <f ca="1">SUMIFS(FaseGrupos!Q:Q,FaseGrupos!P:P,Config!E17,FaseGrupos!J:J,1,FaseGrupos!A:A,"G") + SUMIFS(FaseGrupos!R:R,FaseGrupos!S:S,Config!E17,FaseGrupos!J:J,1,FaseGrupos!A:A,"G")</f>
        <v>3</v>
      </c>
      <c r="L17" s="4">
        <f ca="1">SUMIFS(FaseGrupos!R:R,FaseGrupos!P:P,Config!E17,FaseGrupos!J:J,1,FaseGrupos!A:A,"G") + SUMIFS(FaseGrupos!Q:Q,FaseGrupos!S:S,Config!E17,FaseGrupos!J:J,1,FaseGrupos!A:A,"G")</f>
        <v>4</v>
      </c>
      <c r="M17" s="4">
        <f t="shared" ca="1" si="4"/>
        <v>-1</v>
      </c>
      <c r="N17" s="4">
        <f ca="1">_xlfn.RANK.EQ(F17,F14:F17,0)</f>
        <v>3</v>
      </c>
      <c r="O17" s="4">
        <f ca="1">SUMPRODUCT((N14:N17=N17)*(M14:M17&gt;M17))</f>
        <v>0</v>
      </c>
      <c r="P17" s="4">
        <f ca="1">SUMPRODUCT((N14:N17=N17)*(O14:O17=O17)*(L14:L17&gt;L17))</f>
        <v>0</v>
      </c>
      <c r="Q17" s="4">
        <f ca="1">SUMPRODUCT((N14:N17=N17)*(O14:O17=O17)*(L14:L17=L17)*(FairPlay!C16:C19&gt;FairPlay!C19))</f>
        <v>0</v>
      </c>
      <c r="R17" s="4">
        <f t="shared" ca="1" si="5"/>
        <v>3</v>
      </c>
      <c r="S17" s="4">
        <f ca="1">COUNTIF(R14:R17,R17)-1</f>
        <v>0</v>
      </c>
      <c r="V17" s="3">
        <f t="shared" si="12"/>
        <v>68</v>
      </c>
      <c r="W17" s="3">
        <f t="shared" si="9"/>
        <v>4</v>
      </c>
      <c r="X17" s="3">
        <f t="shared" si="10"/>
        <v>3</v>
      </c>
      <c r="Y17">
        <f t="shared" si="11"/>
        <v>6</v>
      </c>
      <c r="Z17">
        <v>2</v>
      </c>
      <c r="AA17" t="str">
        <f ca="1">IF(W17&lt;&gt;0,Traduccion!$B$9 &amp;  " " &amp; CHAR(Config!V17),"")</f>
        <v>Grupo D</v>
      </c>
      <c r="AD17" t="s">
        <v>98</v>
      </c>
      <c r="AE17">
        <v>2</v>
      </c>
      <c r="AF17">
        <v>71</v>
      </c>
      <c r="AG17" t="str">
        <f t="shared" si="6"/>
        <v>CG2</v>
      </c>
      <c r="AH17" t="str">
        <f ca="1">IF(LOOKUP(AG17,FaseGrupos!$AC$7:$AC$52,FaseGrupos!$AG$8:$AG$53)=INDEX($X$14:$X$27,MATCH(AF17,$V$14:$V$27,0)),LOOKUP(AG17,FaseGrupos!$AC$8:$AC$53,FaseGrupos!$AE$8:$AE$53), AE17 &amp; Traduccion!$C$8 &amp; " " &amp; CHAR(Config!AF17))</f>
        <v>Inglaterra</v>
      </c>
    </row>
    <row r="18" spans="1:34" x14ac:dyDescent="0.25">
      <c r="A18" s="3">
        <f t="shared" ca="1" si="0"/>
        <v>4</v>
      </c>
      <c r="B18" s="3" t="str">
        <f t="shared" si="1"/>
        <v>E1</v>
      </c>
      <c r="C18" s="3">
        <v>69</v>
      </c>
      <c r="D18" s="3">
        <v>1</v>
      </c>
      <c r="E18" s="3" t="str">
        <f ca="1">Traduccion!B80</f>
        <v>Costa Rica</v>
      </c>
      <c r="F18" s="3">
        <f t="shared" ca="1" si="2"/>
        <v>1</v>
      </c>
      <c r="G18" s="3">
        <f ca="1">SUMIFS(FaseGrupos!J:J,FaseGrupos!P:P,Config!E18,FaseGrupos!A:A,"G") + SUMIFS(FaseGrupos!J:J,FaseGrupos!S:S,Config!E18,FaseGrupos!A:A,"G")</f>
        <v>3</v>
      </c>
      <c r="H18" s="3">
        <f ca="1">COUNTIFS(FaseGrupos!K:K,1,FaseGrupos!P:P,Config!E18,FaseGrupos!J:J,1,FaseGrupos!A:A,"G") + COUNTIFS(FaseGrupos!U:U,1,FaseGrupos!S:S,Config!E18,FaseGrupos!J:J,1,FaseGrupos!A:A,"G")</f>
        <v>0</v>
      </c>
      <c r="I18" s="3">
        <f t="shared" ca="1" si="3"/>
        <v>1</v>
      </c>
      <c r="J18" s="3">
        <f ca="1">COUNTIFS(FaseGrupos!U:U,1,FaseGrupos!P:P,Config!E18,FaseGrupos!J:J,1,FaseGrupos!A:A,"G") + COUNTIFS(FaseGrupos!K:K,1,FaseGrupos!S:S,Config!E18,FaseGrupos!J:J,1,FaseGrupos!A:A,"G")</f>
        <v>2</v>
      </c>
      <c r="K18" s="3">
        <f ca="1">SUMIFS(FaseGrupos!Q:Q,FaseGrupos!P:P,Config!E18,FaseGrupos!J:J,1,FaseGrupos!A:A,"G") + SUMIFS(FaseGrupos!R:R,FaseGrupos!S:S,Config!E18,FaseGrupos!J:J,1,FaseGrupos!A:A,"G")</f>
        <v>2</v>
      </c>
      <c r="L18" s="3">
        <f ca="1">SUMIFS(FaseGrupos!R:R,FaseGrupos!P:P,Config!E18,FaseGrupos!J:J,1,FaseGrupos!A:A,"G") + SUMIFS(FaseGrupos!Q:Q,FaseGrupos!S:S,Config!E18,FaseGrupos!J:J,1,FaseGrupos!A:A,"G")</f>
        <v>5</v>
      </c>
      <c r="M18" s="3">
        <f t="shared" ca="1" si="4"/>
        <v>-3</v>
      </c>
      <c r="N18" s="3">
        <f ca="1">_xlfn.RANK.EQ(F18,F18:F21,0)</f>
        <v>4</v>
      </c>
      <c r="O18" s="3">
        <f ca="1">SUMPRODUCT((N18:N21=N18)*(M18:M21&gt;M18))</f>
        <v>0</v>
      </c>
      <c r="P18" s="3">
        <f ca="1">SUMPRODUCT((N18:N21=N18)*(O18:O21=O18)*(L18:L21&gt;L18))</f>
        <v>0</v>
      </c>
      <c r="Q18" s="3">
        <f ca="1">SUMPRODUCT((N18:N21=N18)*(O18:O21=O18)*(L18:L21=L18)*(FairPlay!C20:C23&gt;FairPlay!C20))</f>
        <v>0</v>
      </c>
      <c r="R18" s="3">
        <f t="shared" ca="1" si="5"/>
        <v>4</v>
      </c>
      <c r="S18" s="3">
        <f ca="1">COUNTIF(R18:R18,R18)-1</f>
        <v>0</v>
      </c>
      <c r="V18" s="3">
        <f t="shared" si="12"/>
        <v>69</v>
      </c>
      <c r="W18" s="3">
        <f t="shared" si="9"/>
        <v>4</v>
      </c>
      <c r="X18" s="3">
        <f t="shared" si="10"/>
        <v>3</v>
      </c>
      <c r="Y18">
        <f t="shared" si="11"/>
        <v>6</v>
      </c>
      <c r="Z18">
        <v>2</v>
      </c>
      <c r="AA18" t="str">
        <f ca="1">IF(W18&lt;&gt;0,Traduccion!$B$9 &amp;  " " &amp; CHAR(Config!V18),"")</f>
        <v>Grupo E</v>
      </c>
    </row>
    <row r="19" spans="1:34" x14ac:dyDescent="0.25">
      <c r="A19" s="3">
        <f t="shared" ca="1" si="0"/>
        <v>3</v>
      </c>
      <c r="B19" s="3" t="str">
        <f t="shared" si="1"/>
        <v>E2</v>
      </c>
      <c r="C19" s="3">
        <v>69</v>
      </c>
      <c r="D19" s="3">
        <v>2</v>
      </c>
      <c r="E19" s="3" t="str">
        <f ca="1">Traduccion!B81</f>
        <v>Serbia</v>
      </c>
      <c r="F19" s="3">
        <f t="shared" ca="1" si="2"/>
        <v>3</v>
      </c>
      <c r="G19" s="3">
        <f ca="1">SUMIFS(FaseGrupos!J:J,FaseGrupos!P:P,Config!E19,FaseGrupos!A:A,"G") + SUMIFS(FaseGrupos!J:J,FaseGrupos!S:S,Config!E19,FaseGrupos!A:A,"G")</f>
        <v>3</v>
      </c>
      <c r="H19" s="3">
        <f ca="1">COUNTIFS(FaseGrupos!K:K,1,FaseGrupos!P:P,Config!E19,FaseGrupos!J:J,1,FaseGrupos!A:A,"G") + COUNTIFS(FaseGrupos!U:U,1,FaseGrupos!S:S,Config!E19,FaseGrupos!J:J,1,FaseGrupos!A:A,"G")</f>
        <v>1</v>
      </c>
      <c r="I19" s="3">
        <f t="shared" ca="1" si="3"/>
        <v>0</v>
      </c>
      <c r="J19" s="3">
        <f ca="1">COUNTIFS(FaseGrupos!U:U,1,FaseGrupos!P:P,Config!E19,FaseGrupos!J:J,1,FaseGrupos!A:A,"G") + COUNTIFS(FaseGrupos!K:K,1,FaseGrupos!S:S,Config!E19,FaseGrupos!J:J,1,FaseGrupos!A:A,"G")</f>
        <v>2</v>
      </c>
      <c r="K19" s="3">
        <f ca="1">SUMIFS(FaseGrupos!Q:Q,FaseGrupos!P:P,Config!E19,FaseGrupos!J:J,1,FaseGrupos!A:A,"G") + SUMIFS(FaseGrupos!R:R,FaseGrupos!S:S,Config!E19,FaseGrupos!J:J,1,FaseGrupos!A:A,"G")</f>
        <v>2</v>
      </c>
      <c r="L19" s="3">
        <f ca="1">SUMIFS(FaseGrupos!R:R,FaseGrupos!P:P,Config!E19,FaseGrupos!J:J,1,FaseGrupos!A:A,"G") + SUMIFS(FaseGrupos!Q:Q,FaseGrupos!S:S,Config!E19,FaseGrupos!J:J,1,FaseGrupos!A:A,"G")</f>
        <v>4</v>
      </c>
      <c r="M19" s="3">
        <f t="shared" ca="1" si="4"/>
        <v>-2</v>
      </c>
      <c r="N19" s="3">
        <f ca="1">_xlfn.RANK.EQ(F19,F18:F21,0)</f>
        <v>3</v>
      </c>
      <c r="O19" s="3">
        <f ca="1">SUMPRODUCT((N18:N21=N19)*(M18:M21&gt;M19))</f>
        <v>0</v>
      </c>
      <c r="P19" s="3">
        <f ca="1">SUMPRODUCT((N18:N21=N19)*(O18:O21=O19)*(L18:L21&gt;L19))</f>
        <v>0</v>
      </c>
      <c r="Q19" s="3">
        <f ca="1">SUMPRODUCT((N18:N21=N19)*(O18:O21=O19)*(L18:L21=L19)*(FairPlay!C20:C23&gt;FairPlay!C21))</f>
        <v>0</v>
      </c>
      <c r="R19" s="3">
        <f t="shared" ca="1" si="5"/>
        <v>3</v>
      </c>
      <c r="S19" s="3">
        <f ca="1">COUNTIF(R18:R19,R19)-1</f>
        <v>0</v>
      </c>
      <c r="V19" s="3">
        <f t="shared" si="12"/>
        <v>70</v>
      </c>
      <c r="W19" s="3">
        <f t="shared" si="9"/>
        <v>4</v>
      </c>
      <c r="X19" s="3">
        <f t="shared" si="10"/>
        <v>3</v>
      </c>
      <c r="Y19">
        <f t="shared" si="11"/>
        <v>6</v>
      </c>
      <c r="Z19">
        <v>2</v>
      </c>
      <c r="AA19" t="str">
        <f ca="1">IF(W19&lt;&gt;0,Traduccion!$B$9 &amp;  " " &amp; CHAR(Config!V19),"")</f>
        <v>Grupo F</v>
      </c>
      <c r="AG19">
        <f ca="1">LOOKUP(AG9,FaseGrupos!$AC$7:$AC$52,FaseGrupos!$AG$8:$AG$53)</f>
        <v>3</v>
      </c>
    </row>
    <row r="20" spans="1:34" x14ac:dyDescent="0.25">
      <c r="A20" s="3">
        <f t="shared" ca="1" si="0"/>
        <v>1</v>
      </c>
      <c r="B20" s="3" t="str">
        <f t="shared" si="1"/>
        <v>E3</v>
      </c>
      <c r="C20" s="3">
        <v>69</v>
      </c>
      <c r="D20" s="3">
        <v>3</v>
      </c>
      <c r="E20" s="3" t="str">
        <f ca="1">Traduccion!B82</f>
        <v>Brasil</v>
      </c>
      <c r="F20" s="3">
        <f t="shared" ca="1" si="2"/>
        <v>7</v>
      </c>
      <c r="G20" s="3">
        <f ca="1">SUMIFS(FaseGrupos!J:J,FaseGrupos!P:P,Config!E20,FaseGrupos!A:A,"G") + SUMIFS(FaseGrupos!J:J,FaseGrupos!S:S,Config!E20,FaseGrupos!A:A,"G")</f>
        <v>3</v>
      </c>
      <c r="H20" s="3">
        <f ca="1">COUNTIFS(FaseGrupos!K:K,1,FaseGrupos!P:P,Config!E20,FaseGrupos!J:J,1,FaseGrupos!A:A,"G") + COUNTIFS(FaseGrupos!U:U,1,FaseGrupos!S:S,Config!E20,FaseGrupos!J:J,1,FaseGrupos!A:A,"G")</f>
        <v>2</v>
      </c>
      <c r="I20" s="3">
        <f t="shared" ca="1" si="3"/>
        <v>1</v>
      </c>
      <c r="J20" s="3">
        <f ca="1">COUNTIFS(FaseGrupos!U:U,1,FaseGrupos!P:P,Config!E20,FaseGrupos!J:J,1,FaseGrupos!A:A,"G") + COUNTIFS(FaseGrupos!K:K,1,FaseGrupos!S:S,Config!E20,FaseGrupos!J:J,1,FaseGrupos!A:A,"G")</f>
        <v>0</v>
      </c>
      <c r="K20" s="3">
        <f ca="1">SUMIFS(FaseGrupos!Q:Q,FaseGrupos!P:P,Config!E20,FaseGrupos!J:J,1,FaseGrupos!A:A,"G") + SUMIFS(FaseGrupos!R:R,FaseGrupos!S:S,Config!E20,FaseGrupos!J:J,1,FaseGrupos!A:A,"G")</f>
        <v>5</v>
      </c>
      <c r="L20" s="3">
        <f ca="1">SUMIFS(FaseGrupos!R:R,FaseGrupos!P:P,Config!E20,FaseGrupos!J:J,1,FaseGrupos!A:A,"G") + SUMIFS(FaseGrupos!Q:Q,FaseGrupos!S:S,Config!E20,FaseGrupos!J:J,1,FaseGrupos!A:A,"G")</f>
        <v>1</v>
      </c>
      <c r="M20" s="3">
        <f t="shared" ca="1" si="4"/>
        <v>4</v>
      </c>
      <c r="N20" s="3">
        <f ca="1">_xlfn.RANK.EQ(F20,F18:F21,0)</f>
        <v>1</v>
      </c>
      <c r="O20" s="3">
        <f ca="1">SUMPRODUCT((N18:N21=N20)*(M18:M21&gt;M20))</f>
        <v>0</v>
      </c>
      <c r="P20" s="3">
        <f ca="1">SUMPRODUCT((N18:N21=N20)*(O18:O21=O20)*(L18:L21&gt;L20))</f>
        <v>0</v>
      </c>
      <c r="Q20" s="3">
        <f ca="1">SUMPRODUCT((N18:N21=N20)*(O18:O21=O20)*(L18:L21=L20)*(FairPlay!C20:C23&gt;FairPlay!C22))</f>
        <v>0</v>
      </c>
      <c r="R20" s="3">
        <f t="shared" ca="1" si="5"/>
        <v>1</v>
      </c>
      <c r="S20" s="3">
        <f ca="1">COUNTIF(R18:R20,R20)-1</f>
        <v>0</v>
      </c>
      <c r="V20" s="3">
        <f t="shared" si="12"/>
        <v>71</v>
      </c>
      <c r="W20" s="3">
        <f t="shared" si="9"/>
        <v>4</v>
      </c>
      <c r="X20" s="3">
        <f t="shared" si="10"/>
        <v>3</v>
      </c>
      <c r="Y20">
        <f t="shared" si="11"/>
        <v>6</v>
      </c>
      <c r="Z20">
        <v>2</v>
      </c>
      <c r="AA20" t="str">
        <f ca="1">IF(W20&lt;&gt;0,Traduccion!$B$9 &amp;  " " &amp; CHAR(Config!V20),"")</f>
        <v>Grupo G</v>
      </c>
      <c r="AG20">
        <f>LOOKUP(AF9,$V$14:$V$27,$X$14:$X$27)</f>
        <v>0</v>
      </c>
    </row>
    <row r="21" spans="1:34" x14ac:dyDescent="0.25">
      <c r="A21" s="4">
        <f t="shared" ca="1" si="0"/>
        <v>2</v>
      </c>
      <c r="B21" s="4" t="str">
        <f t="shared" si="1"/>
        <v>E4</v>
      </c>
      <c r="C21" s="4">
        <v>69</v>
      </c>
      <c r="D21" s="4">
        <v>4</v>
      </c>
      <c r="E21" s="4" t="str">
        <f ca="1">Traduccion!B83</f>
        <v>Suiza</v>
      </c>
      <c r="F21" s="4">
        <f t="shared" ca="1" si="2"/>
        <v>5</v>
      </c>
      <c r="G21" s="4">
        <f ca="1">SUMIFS(FaseGrupos!J:J,FaseGrupos!P:P,Config!E21,FaseGrupos!A:A,"G") + SUMIFS(FaseGrupos!J:J,FaseGrupos!S:S,Config!E21,FaseGrupos!A:A,"G")</f>
        <v>3</v>
      </c>
      <c r="H21" s="4">
        <f ca="1">COUNTIFS(FaseGrupos!K:K,1,FaseGrupos!P:P,Config!E21,FaseGrupos!J:J,1,FaseGrupos!A:A,"G") + COUNTIFS(FaseGrupos!U:U,1,FaseGrupos!S:S,Config!E21,FaseGrupos!J:J,1,FaseGrupos!A:A,"G")</f>
        <v>1</v>
      </c>
      <c r="I21" s="4">
        <f t="shared" ca="1" si="3"/>
        <v>2</v>
      </c>
      <c r="J21" s="4">
        <f ca="1">COUNTIFS(FaseGrupos!U:U,1,FaseGrupos!P:P,Config!E21,FaseGrupos!J:J,1,FaseGrupos!A:A,"G") + COUNTIFS(FaseGrupos!K:K,1,FaseGrupos!S:S,Config!E21,FaseGrupos!J:J,1,FaseGrupos!A:A,"G")</f>
        <v>0</v>
      </c>
      <c r="K21" s="4">
        <f ca="1">SUMIFS(FaseGrupos!Q:Q,FaseGrupos!P:P,Config!E21,FaseGrupos!J:J,1,FaseGrupos!A:A,"G") + SUMIFS(FaseGrupos!R:R,FaseGrupos!S:S,Config!E21,FaseGrupos!J:J,1,FaseGrupos!A:A,"G")</f>
        <v>5</v>
      </c>
      <c r="L21" s="4">
        <f ca="1">SUMIFS(FaseGrupos!R:R,FaseGrupos!P:P,Config!E21,FaseGrupos!J:J,1,FaseGrupos!A:A,"G") + SUMIFS(FaseGrupos!Q:Q,FaseGrupos!S:S,Config!E21,FaseGrupos!J:J,1,FaseGrupos!A:A,"G")</f>
        <v>4</v>
      </c>
      <c r="M21" s="4">
        <f t="shared" ca="1" si="4"/>
        <v>1</v>
      </c>
      <c r="N21" s="4">
        <f ca="1">_xlfn.RANK.EQ(F21,F18:F21,0)</f>
        <v>2</v>
      </c>
      <c r="O21" s="4">
        <f ca="1">SUMPRODUCT((N18:N21=N21)*(M18:M21&gt;M21))</f>
        <v>0</v>
      </c>
      <c r="P21" s="4">
        <f ca="1">SUMPRODUCT((N18:N21=N21)*(O18:O21=O21)*(L18:L21&gt;L21))</f>
        <v>0</v>
      </c>
      <c r="Q21" s="4">
        <f ca="1">SUMPRODUCT((N18:N21=N21)*(O18:O21=O21)*(L18:L21=L21)*(FairPlay!C20:C23&gt;FairPlay!C23))</f>
        <v>0</v>
      </c>
      <c r="R21" s="4">
        <f t="shared" ca="1" si="5"/>
        <v>2</v>
      </c>
      <c r="S21" s="4">
        <f ca="1">COUNTIF(R18:R21,R21)-1</f>
        <v>0</v>
      </c>
      <c r="V21" s="3">
        <v>72</v>
      </c>
      <c r="W21" s="3">
        <f t="shared" si="9"/>
        <v>4</v>
      </c>
      <c r="X21" s="3">
        <f t="shared" si="10"/>
        <v>3</v>
      </c>
      <c r="Y21">
        <f t="shared" si="11"/>
        <v>6</v>
      </c>
      <c r="Z21">
        <v>2</v>
      </c>
      <c r="AA21" t="str">
        <f ca="1">IF(W21&lt;&gt;0,Traduccion!$B$9 &amp;  " " &amp; CHAR(Config!V21),"")</f>
        <v>Grupo H</v>
      </c>
    </row>
    <row r="22" spans="1:34" x14ac:dyDescent="0.25">
      <c r="A22" s="3">
        <f t="shared" ca="1" si="0"/>
        <v>4</v>
      </c>
      <c r="B22" s="3" t="str">
        <f t="shared" si="1"/>
        <v>F1</v>
      </c>
      <c r="C22" s="3">
        <v>70</v>
      </c>
      <c r="D22" s="3">
        <v>1</v>
      </c>
      <c r="E22" s="3" t="str">
        <f ca="1">Traduccion!B84</f>
        <v>Alemania</v>
      </c>
      <c r="F22" s="3">
        <f t="shared" ca="1" si="2"/>
        <v>3</v>
      </c>
      <c r="G22" s="3">
        <f ca="1">SUMIFS(FaseGrupos!J:J,FaseGrupos!P:P,Config!E22,FaseGrupos!A:A,"G") + SUMIFS(FaseGrupos!J:J,FaseGrupos!S:S,Config!E22,FaseGrupos!A:A,"G")</f>
        <v>3</v>
      </c>
      <c r="H22" s="3">
        <f ca="1">COUNTIFS(FaseGrupos!K:K,1,FaseGrupos!P:P,Config!E22,FaseGrupos!J:J,1,FaseGrupos!A:A,"G") + COUNTIFS(FaseGrupos!U:U,1,FaseGrupos!S:S,Config!E22,FaseGrupos!J:J,1,FaseGrupos!A:A,"G")</f>
        <v>1</v>
      </c>
      <c r="I22" s="3">
        <f t="shared" ca="1" si="3"/>
        <v>0</v>
      </c>
      <c r="J22" s="3">
        <f ca="1">COUNTIFS(FaseGrupos!U:U,1,FaseGrupos!P:P,Config!E22,FaseGrupos!J:J,1,FaseGrupos!A:A,"G") + COUNTIFS(FaseGrupos!K:K,1,FaseGrupos!S:S,Config!E22,FaseGrupos!J:J,1,FaseGrupos!A:A,"G")</f>
        <v>2</v>
      </c>
      <c r="K22" s="3">
        <f ca="1">SUMIFS(FaseGrupos!Q:Q,FaseGrupos!P:P,Config!E22,FaseGrupos!J:J,1,FaseGrupos!A:A,"G") + SUMIFS(FaseGrupos!R:R,FaseGrupos!S:S,Config!E22,FaseGrupos!J:J,1,FaseGrupos!A:A,"G")</f>
        <v>2</v>
      </c>
      <c r="L22" s="3">
        <f ca="1">SUMIFS(FaseGrupos!R:R,FaseGrupos!P:P,Config!E22,FaseGrupos!J:J,1,FaseGrupos!A:A,"G") + SUMIFS(FaseGrupos!Q:Q,FaseGrupos!S:S,Config!E22,FaseGrupos!J:J,1,FaseGrupos!A:A,"G")</f>
        <v>4</v>
      </c>
      <c r="M22" s="3">
        <f t="shared" ca="1" si="4"/>
        <v>-2</v>
      </c>
      <c r="N22" s="3">
        <f ca="1">_xlfn.RANK.EQ(F22,F22:F25,0)</f>
        <v>3</v>
      </c>
      <c r="O22" s="3">
        <f ca="1">SUMPRODUCT((N22:N25=N22)*(M22:M25&gt;M22))</f>
        <v>1</v>
      </c>
      <c r="P22" s="3">
        <f ca="1">SUMPRODUCT((N22:N25=N22)*(O22:O25=O22)*(L22:L25&gt;L22))</f>
        <v>0</v>
      </c>
      <c r="Q22" s="3">
        <f ca="1">SUMPRODUCT((N22:N25=N22)*(O22:O25=O22)*(L22:L25=L22)*(FairPlay!C24:C27&gt;FairPlay!C24))</f>
        <v>0</v>
      </c>
      <c r="R22" s="3">
        <f t="shared" ca="1" si="5"/>
        <v>4</v>
      </c>
      <c r="S22" s="3">
        <f ca="1">COUNTIF(R22:R22,R22)-1</f>
        <v>0</v>
      </c>
      <c r="V22" s="3">
        <f t="shared" si="12"/>
        <v>0</v>
      </c>
      <c r="W22" s="3">
        <f>COUNTIF(C:C,V22)</f>
        <v>0</v>
      </c>
      <c r="X22" s="3">
        <f t="shared" si="10"/>
        <v>0</v>
      </c>
      <c r="Y22">
        <f t="shared" si="11"/>
        <v>0</v>
      </c>
      <c r="Z22">
        <v>0</v>
      </c>
      <c r="AA22" t="str">
        <f>IF(W22&lt;&gt;0,Traduccion!$B$9 &amp;  " " &amp; CHAR(Config!V22),"")</f>
        <v/>
      </c>
    </row>
    <row r="23" spans="1:34" x14ac:dyDescent="0.25">
      <c r="A23" s="3">
        <f t="shared" ca="1" si="0"/>
        <v>2</v>
      </c>
      <c r="B23" s="3" t="str">
        <f t="shared" si="1"/>
        <v>F2</v>
      </c>
      <c r="C23" s="3">
        <v>70</v>
      </c>
      <c r="D23" s="3">
        <v>2</v>
      </c>
      <c r="E23" s="3" t="str">
        <f ca="1">Traduccion!B85</f>
        <v>México</v>
      </c>
      <c r="F23" s="3">
        <f t="shared" ca="1" si="2"/>
        <v>6</v>
      </c>
      <c r="G23" s="3">
        <f ca="1">SUMIFS(FaseGrupos!J:J,FaseGrupos!P:P,Config!E23,FaseGrupos!A:A,"G") + SUMIFS(FaseGrupos!J:J,FaseGrupos!S:S,Config!E23,FaseGrupos!A:A,"G")</f>
        <v>3</v>
      </c>
      <c r="H23" s="3">
        <f ca="1">COUNTIFS(FaseGrupos!K:K,1,FaseGrupos!P:P,Config!E23,FaseGrupos!J:J,1,FaseGrupos!A:A,"G") + COUNTIFS(FaseGrupos!U:U,1,FaseGrupos!S:S,Config!E23,FaseGrupos!J:J,1,FaseGrupos!A:A,"G")</f>
        <v>2</v>
      </c>
      <c r="I23" s="3">
        <f t="shared" ca="1" si="3"/>
        <v>0</v>
      </c>
      <c r="J23" s="3">
        <f ca="1">COUNTIFS(FaseGrupos!U:U,1,FaseGrupos!P:P,Config!E23,FaseGrupos!J:J,1,FaseGrupos!A:A,"G") + COUNTIFS(FaseGrupos!K:K,1,FaseGrupos!S:S,Config!E23,FaseGrupos!J:J,1,FaseGrupos!A:A,"G")</f>
        <v>1</v>
      </c>
      <c r="K23" s="3">
        <f ca="1">SUMIFS(FaseGrupos!Q:Q,FaseGrupos!P:P,Config!E23,FaseGrupos!J:J,1,FaseGrupos!A:A,"G") + SUMIFS(FaseGrupos!R:R,FaseGrupos!S:S,Config!E23,FaseGrupos!J:J,1,FaseGrupos!A:A,"G")</f>
        <v>3</v>
      </c>
      <c r="L23" s="3">
        <f ca="1">SUMIFS(FaseGrupos!R:R,FaseGrupos!P:P,Config!E23,FaseGrupos!J:J,1,FaseGrupos!A:A,"G") + SUMIFS(FaseGrupos!Q:Q,FaseGrupos!S:S,Config!E23,FaseGrupos!J:J,1,FaseGrupos!A:A,"G")</f>
        <v>4</v>
      </c>
      <c r="M23" s="3">
        <f t="shared" ca="1" si="4"/>
        <v>-1</v>
      </c>
      <c r="N23" s="3">
        <f ca="1">_xlfn.RANK.EQ(F23,F22:F25,0)</f>
        <v>1</v>
      </c>
      <c r="O23" s="3">
        <f ca="1">SUMPRODUCT((N22:N25=N23)*(M22:M25&gt;M23))</f>
        <v>1</v>
      </c>
      <c r="P23" s="3">
        <f ca="1">SUMPRODUCT((N22:N25=N23)*(O22:O25=O23)*(L22:L25&gt;L23))</f>
        <v>0</v>
      </c>
      <c r="Q23" s="3">
        <f ca="1">SUMPRODUCT((N22:N25=N23)*(O22:O25=O23)*(L22:L25=L23)*(FairPlay!C24:C27&gt;FairPlay!C25))</f>
        <v>0</v>
      </c>
      <c r="R23" s="3">
        <f t="shared" ca="1" si="5"/>
        <v>2</v>
      </c>
      <c r="S23" s="3">
        <f ca="1">COUNTIF(R22:R23,R23)-1</f>
        <v>0</v>
      </c>
      <c r="V23" s="3">
        <f t="shared" si="12"/>
        <v>1</v>
      </c>
      <c r="W23" s="3">
        <f t="shared" si="9"/>
        <v>0</v>
      </c>
      <c r="X23" s="3">
        <f t="shared" si="10"/>
        <v>0</v>
      </c>
      <c r="Y23">
        <f t="shared" si="11"/>
        <v>0</v>
      </c>
      <c r="Z23">
        <v>0</v>
      </c>
      <c r="AA23" t="str">
        <f>IF(W23&lt;&gt;0,Traduccion!$B$9 &amp;  " " &amp; CHAR(Config!V23),"")</f>
        <v/>
      </c>
    </row>
    <row r="24" spans="1:34" x14ac:dyDescent="0.25">
      <c r="A24" s="3">
        <f t="shared" ca="1" si="0"/>
        <v>1</v>
      </c>
      <c r="B24" s="3" t="str">
        <f t="shared" si="1"/>
        <v>F3</v>
      </c>
      <c r="C24" s="3">
        <v>70</v>
      </c>
      <c r="D24" s="3">
        <v>3</v>
      </c>
      <c r="E24" s="3" t="str">
        <f ca="1">Traduccion!B86</f>
        <v>Suecia</v>
      </c>
      <c r="F24" s="3">
        <f t="shared" ca="1" si="2"/>
        <v>6</v>
      </c>
      <c r="G24" s="3">
        <f ca="1">SUMIFS(FaseGrupos!J:J,FaseGrupos!P:P,Config!E24,FaseGrupos!A:A,"G") + SUMIFS(FaseGrupos!J:J,FaseGrupos!S:S,Config!E24,FaseGrupos!A:A,"G")</f>
        <v>3</v>
      </c>
      <c r="H24" s="3">
        <f ca="1">COUNTIFS(FaseGrupos!K:K,1,FaseGrupos!P:P,Config!E24,FaseGrupos!J:J,1,FaseGrupos!A:A,"G") + COUNTIFS(FaseGrupos!U:U,1,FaseGrupos!S:S,Config!E24,FaseGrupos!J:J,1,FaseGrupos!A:A,"G")</f>
        <v>2</v>
      </c>
      <c r="I24" s="3">
        <f t="shared" ca="1" si="3"/>
        <v>0</v>
      </c>
      <c r="J24" s="3">
        <f ca="1">COUNTIFS(FaseGrupos!U:U,1,FaseGrupos!P:P,Config!E24,FaseGrupos!J:J,1,FaseGrupos!A:A,"G") + COUNTIFS(FaseGrupos!K:K,1,FaseGrupos!S:S,Config!E24,FaseGrupos!J:J,1,FaseGrupos!A:A,"G")</f>
        <v>1</v>
      </c>
      <c r="K24" s="3">
        <f ca="1">SUMIFS(FaseGrupos!Q:Q,FaseGrupos!P:P,Config!E24,FaseGrupos!J:J,1,FaseGrupos!A:A,"G") + SUMIFS(FaseGrupos!R:R,FaseGrupos!S:S,Config!E24,FaseGrupos!J:J,1,FaseGrupos!A:A,"G")</f>
        <v>5</v>
      </c>
      <c r="L24" s="3">
        <f ca="1">SUMIFS(FaseGrupos!R:R,FaseGrupos!P:P,Config!E24,FaseGrupos!J:J,1,FaseGrupos!A:A,"G") + SUMIFS(FaseGrupos!Q:Q,FaseGrupos!S:S,Config!E24,FaseGrupos!J:J,1,FaseGrupos!A:A,"G")</f>
        <v>2</v>
      </c>
      <c r="M24" s="3">
        <f t="shared" ca="1" si="4"/>
        <v>3</v>
      </c>
      <c r="N24" s="3">
        <f ca="1">_xlfn.RANK.EQ(F24,F22:F25,0)</f>
        <v>1</v>
      </c>
      <c r="O24" s="3">
        <f ca="1">SUMPRODUCT((N22:N25=N24)*(M22:M25&gt;M24))</f>
        <v>0</v>
      </c>
      <c r="P24" s="3">
        <f ca="1">SUMPRODUCT((N22:N25=N24)*(O22:O25=O24)*(L22:L25&gt;L24))</f>
        <v>0</v>
      </c>
      <c r="Q24" s="3">
        <f ca="1">SUMPRODUCT((N22:N25=N24)*(O22:O25=O24)*(L22:L25=L24)*(FairPlay!C24:C27&gt;FairPlay!C26))</f>
        <v>0</v>
      </c>
      <c r="R24" s="3">
        <f t="shared" ca="1" si="5"/>
        <v>1</v>
      </c>
      <c r="S24" s="3">
        <f ca="1">COUNTIF(R22:R24,R24)-1</f>
        <v>0</v>
      </c>
      <c r="V24" s="3">
        <f t="shared" si="12"/>
        <v>2</v>
      </c>
      <c r="W24" s="3">
        <f t="shared" si="9"/>
        <v>0</v>
      </c>
      <c r="X24" s="3">
        <f t="shared" si="10"/>
        <v>0</v>
      </c>
      <c r="Y24">
        <f t="shared" si="11"/>
        <v>0</v>
      </c>
      <c r="Z24">
        <v>0</v>
      </c>
      <c r="AA24" t="str">
        <f>IF(W24&lt;&gt;0,Traduccion!$B$9 &amp;  " " &amp; CHAR(Config!V24),"")</f>
        <v/>
      </c>
    </row>
    <row r="25" spans="1:34" x14ac:dyDescent="0.25">
      <c r="A25" s="4">
        <f t="shared" ca="1" si="0"/>
        <v>3</v>
      </c>
      <c r="B25" s="4" t="str">
        <f t="shared" si="1"/>
        <v>F4</v>
      </c>
      <c r="C25" s="4">
        <v>70</v>
      </c>
      <c r="D25" s="4">
        <v>4</v>
      </c>
      <c r="E25" s="4" t="str">
        <f ca="1">Traduccion!B87</f>
        <v>Corea del Sur</v>
      </c>
      <c r="F25" s="4">
        <f t="shared" ca="1" si="2"/>
        <v>3</v>
      </c>
      <c r="G25" s="4">
        <f ca="1">SUMIFS(FaseGrupos!J:J,FaseGrupos!P:P,Config!E25,FaseGrupos!A:A,"G") + SUMIFS(FaseGrupos!J:J,FaseGrupos!S:S,Config!E25,FaseGrupos!A:A,"G")</f>
        <v>3</v>
      </c>
      <c r="H25" s="4">
        <f ca="1">COUNTIFS(FaseGrupos!K:K,1,FaseGrupos!P:P,Config!E25,FaseGrupos!J:J,1,FaseGrupos!A:A,"G") + COUNTIFS(FaseGrupos!U:U,1,FaseGrupos!S:S,Config!E25,FaseGrupos!J:J,1,FaseGrupos!A:A,"G")</f>
        <v>1</v>
      </c>
      <c r="I25" s="4">
        <f t="shared" ca="1" si="3"/>
        <v>0</v>
      </c>
      <c r="J25" s="4">
        <f ca="1">COUNTIFS(FaseGrupos!U:U,1,FaseGrupos!P:P,Config!E25,FaseGrupos!J:J,1,FaseGrupos!A:A,"G") + COUNTIFS(FaseGrupos!K:K,1,FaseGrupos!S:S,Config!E25,FaseGrupos!J:J,1,FaseGrupos!A:A,"G")</f>
        <v>2</v>
      </c>
      <c r="K25" s="4">
        <f ca="1">SUMIFS(FaseGrupos!Q:Q,FaseGrupos!P:P,Config!E25,FaseGrupos!J:J,1,FaseGrupos!A:A,"G") + SUMIFS(FaseGrupos!R:R,FaseGrupos!S:S,Config!E25,FaseGrupos!J:J,1,FaseGrupos!A:A,"G")</f>
        <v>3</v>
      </c>
      <c r="L25" s="4">
        <f ca="1">SUMIFS(FaseGrupos!R:R,FaseGrupos!P:P,Config!E25,FaseGrupos!J:J,1,FaseGrupos!A:A,"G") + SUMIFS(FaseGrupos!Q:Q,FaseGrupos!S:S,Config!E25,FaseGrupos!J:J,1,FaseGrupos!A:A,"G")</f>
        <v>3</v>
      </c>
      <c r="M25" s="4">
        <f t="shared" ca="1" si="4"/>
        <v>0</v>
      </c>
      <c r="N25" s="4">
        <f ca="1">_xlfn.RANK.EQ(F25,F22:F25,0)</f>
        <v>3</v>
      </c>
      <c r="O25" s="4">
        <f ca="1">SUMPRODUCT((N22:N25=N25)*(M22:M25&gt;M25))</f>
        <v>0</v>
      </c>
      <c r="P25" s="4">
        <f ca="1">SUMPRODUCT((N22:N25=N25)*(O22:O25=O25)*(L22:L25&gt;L25))</f>
        <v>0</v>
      </c>
      <c r="Q25" s="4">
        <f ca="1">SUMPRODUCT((N22:N25=N25)*(O22:O25=O25)*(L22:L25=L25)*(FairPlay!C24:C27&gt;FairPlay!C27))</f>
        <v>0</v>
      </c>
      <c r="R25" s="4">
        <f t="shared" ca="1" si="5"/>
        <v>3</v>
      </c>
      <c r="S25" s="4">
        <f ca="1">COUNTIF(R22:R25,R25)-1</f>
        <v>0</v>
      </c>
      <c r="V25" s="3">
        <f t="shared" si="12"/>
        <v>3</v>
      </c>
      <c r="W25" s="3">
        <f t="shared" si="9"/>
        <v>0</v>
      </c>
      <c r="X25" s="3">
        <f t="shared" si="10"/>
        <v>0</v>
      </c>
      <c r="Y25">
        <f t="shared" si="11"/>
        <v>0</v>
      </c>
      <c r="Z25">
        <v>0</v>
      </c>
      <c r="AA25" t="str">
        <f>IF(W25&lt;&gt;0,Traduccion!$B$9 &amp;  " " &amp; CHAR(Config!V25),"")</f>
        <v/>
      </c>
    </row>
    <row r="26" spans="1:34" x14ac:dyDescent="0.25">
      <c r="A26" s="3">
        <f t="shared" ca="1" si="0"/>
        <v>1</v>
      </c>
      <c r="B26" s="3" t="str">
        <f t="shared" si="1"/>
        <v>G1</v>
      </c>
      <c r="C26" s="3">
        <v>71</v>
      </c>
      <c r="D26" s="3">
        <v>1</v>
      </c>
      <c r="E26" s="3" t="str">
        <f ca="1">Traduccion!B88</f>
        <v>Bélgica</v>
      </c>
      <c r="F26" s="3">
        <f t="shared" ca="1" si="2"/>
        <v>9</v>
      </c>
      <c r="G26" s="3">
        <f ca="1">SUMIFS(FaseGrupos!J:J,FaseGrupos!P:P,Config!E26,FaseGrupos!A:A,"G") + SUMIFS(FaseGrupos!J:J,FaseGrupos!S:S,Config!E26,FaseGrupos!A:A,"G")</f>
        <v>3</v>
      </c>
      <c r="H26" s="3">
        <f ca="1">COUNTIFS(FaseGrupos!K:K,1,FaseGrupos!P:P,Config!E26,FaseGrupos!J:J,1,FaseGrupos!A:A,"G") + COUNTIFS(FaseGrupos!U:U,1,FaseGrupos!S:S,Config!E26,FaseGrupos!J:J,1,FaseGrupos!A:A,"G")</f>
        <v>3</v>
      </c>
      <c r="I26" s="3">
        <f t="shared" ca="1" si="3"/>
        <v>0</v>
      </c>
      <c r="J26" s="3">
        <f ca="1">COUNTIFS(FaseGrupos!U:U,1,FaseGrupos!P:P,Config!E26,FaseGrupos!J:J,1,FaseGrupos!A:A,"G") + COUNTIFS(FaseGrupos!K:K,1,FaseGrupos!S:S,Config!E26,FaseGrupos!J:J,1,FaseGrupos!A:A,"G")</f>
        <v>0</v>
      </c>
      <c r="K26" s="3">
        <f ca="1">SUMIFS(FaseGrupos!Q:Q,FaseGrupos!P:P,Config!E26,FaseGrupos!J:J,1,FaseGrupos!A:A,"G") + SUMIFS(FaseGrupos!R:R,FaseGrupos!S:S,Config!E26,FaseGrupos!J:J,1,FaseGrupos!A:A,"G")</f>
        <v>9</v>
      </c>
      <c r="L26" s="3">
        <f ca="1">SUMIFS(FaseGrupos!R:R,FaseGrupos!P:P,Config!E26,FaseGrupos!J:J,1,FaseGrupos!A:A,"G") + SUMIFS(FaseGrupos!Q:Q,FaseGrupos!S:S,Config!E26,FaseGrupos!J:J,1,FaseGrupos!A:A,"G")</f>
        <v>2</v>
      </c>
      <c r="M26" s="3">
        <f t="shared" ca="1" si="4"/>
        <v>7</v>
      </c>
      <c r="N26" s="3">
        <f ca="1">_xlfn.RANK.EQ(F26,F26:F29,0)</f>
        <v>1</v>
      </c>
      <c r="O26" s="3">
        <f ca="1">SUMPRODUCT((N26:N29=N26)*(M26:M29&gt;M26))</f>
        <v>0</v>
      </c>
      <c r="P26" s="3">
        <f ca="1">SUMPRODUCT((N26:N29=N26)*(O26:O29=O26)*(L26:L29&gt;L26))</f>
        <v>0</v>
      </c>
      <c r="Q26" s="3">
        <f ca="1">SUMPRODUCT((N26:N29=N26)*(O26:O29=O26)*(L26:L29=L26)*(FairPlay!C28:C31&gt;FairPlay!C28))</f>
        <v>0</v>
      </c>
      <c r="R26" s="3">
        <f t="shared" ca="1" si="5"/>
        <v>1</v>
      </c>
      <c r="S26" s="3">
        <f ca="1">COUNTIF(R26:R26,R26)-1</f>
        <v>0</v>
      </c>
      <c r="V26" s="3">
        <f t="shared" si="12"/>
        <v>4</v>
      </c>
      <c r="W26" s="3">
        <f t="shared" si="9"/>
        <v>0</v>
      </c>
      <c r="X26" s="3">
        <f t="shared" si="10"/>
        <v>0</v>
      </c>
      <c r="Y26">
        <f t="shared" si="11"/>
        <v>0</v>
      </c>
      <c r="Z26">
        <v>0</v>
      </c>
      <c r="AA26" t="str">
        <f>IF(W26&lt;&gt;0,Traduccion!$B$9 &amp;  " " &amp; CHAR(Config!V26),"")</f>
        <v/>
      </c>
    </row>
    <row r="27" spans="1:34" x14ac:dyDescent="0.25">
      <c r="A27" s="3">
        <f t="shared" ca="1" si="0"/>
        <v>4</v>
      </c>
      <c r="B27" s="3" t="str">
        <f t="shared" si="1"/>
        <v>G2</v>
      </c>
      <c r="C27" s="3">
        <v>71</v>
      </c>
      <c r="D27" s="3">
        <v>2</v>
      </c>
      <c r="E27" s="3" t="str">
        <f ca="1">Traduccion!B89</f>
        <v>Panamá</v>
      </c>
      <c r="F27" s="3">
        <f t="shared" ca="1" si="2"/>
        <v>0</v>
      </c>
      <c r="G27" s="3">
        <f ca="1">SUMIFS(FaseGrupos!J:J,FaseGrupos!P:P,Config!E27,FaseGrupos!A:A,"G") + SUMIFS(FaseGrupos!J:J,FaseGrupos!S:S,Config!E27,FaseGrupos!A:A,"G")</f>
        <v>3</v>
      </c>
      <c r="H27" s="3">
        <f ca="1">COUNTIFS(FaseGrupos!K:K,1,FaseGrupos!P:P,Config!E27,FaseGrupos!J:J,1,FaseGrupos!A:A,"G") + COUNTIFS(FaseGrupos!U:U,1,FaseGrupos!S:S,Config!E27,FaseGrupos!J:J,1,FaseGrupos!A:A,"G")</f>
        <v>0</v>
      </c>
      <c r="I27" s="3">
        <f t="shared" ca="1" si="3"/>
        <v>0</v>
      </c>
      <c r="J27" s="3">
        <f ca="1">COUNTIFS(FaseGrupos!U:U,1,FaseGrupos!P:P,Config!E27,FaseGrupos!J:J,1,FaseGrupos!A:A,"G") + COUNTIFS(FaseGrupos!K:K,1,FaseGrupos!S:S,Config!E27,FaseGrupos!J:J,1,FaseGrupos!A:A,"G")</f>
        <v>3</v>
      </c>
      <c r="K27" s="3">
        <f ca="1">SUMIFS(FaseGrupos!Q:Q,FaseGrupos!P:P,Config!E27,FaseGrupos!J:J,1,FaseGrupos!A:A,"G") + SUMIFS(FaseGrupos!R:R,FaseGrupos!S:S,Config!E27,FaseGrupos!J:J,1,FaseGrupos!A:A,"G")</f>
        <v>2</v>
      </c>
      <c r="L27" s="3">
        <f ca="1">SUMIFS(FaseGrupos!R:R,FaseGrupos!P:P,Config!E27,FaseGrupos!J:J,1,FaseGrupos!A:A,"G") + SUMIFS(FaseGrupos!Q:Q,FaseGrupos!S:S,Config!E27,FaseGrupos!J:J,1,FaseGrupos!A:A,"G")</f>
        <v>11</v>
      </c>
      <c r="M27" s="3">
        <f t="shared" ca="1" si="4"/>
        <v>-9</v>
      </c>
      <c r="N27" s="3">
        <f ca="1">_xlfn.RANK.EQ(F27,F26:F29,0)</f>
        <v>4</v>
      </c>
      <c r="O27" s="3">
        <f ca="1">SUMPRODUCT((N26:N29=N27)*(M26:M29&gt;M27))</f>
        <v>0</v>
      </c>
      <c r="P27" s="3">
        <f ca="1">SUMPRODUCT((N26:N29=N27)*(O26:O29=O27)*(L26:L29&gt;L27))</f>
        <v>0</v>
      </c>
      <c r="Q27" s="3">
        <f ca="1">SUMPRODUCT((N26:N29=N27)*(O26:O29=O27)*(L26:L29=L27)*(FairPlay!C28:C31&gt;FairPlay!C29))</f>
        <v>0</v>
      </c>
      <c r="R27" s="3">
        <f t="shared" ca="1" si="5"/>
        <v>4</v>
      </c>
      <c r="S27" s="3">
        <f ca="1">COUNTIF(R26:R27,R27)-1</f>
        <v>0</v>
      </c>
      <c r="V27" s="4">
        <f t="shared" si="12"/>
        <v>5</v>
      </c>
      <c r="W27" s="4">
        <f t="shared" si="9"/>
        <v>0</v>
      </c>
      <c r="X27" s="4">
        <f t="shared" si="10"/>
        <v>0</v>
      </c>
      <c r="Y27" s="4">
        <f t="shared" si="11"/>
        <v>0</v>
      </c>
      <c r="Z27" s="4">
        <v>0</v>
      </c>
      <c r="AA27" s="4" t="str">
        <f>IF(W27&lt;&gt;0,Traduccion!$B$9 &amp;  " " &amp; CHAR(Config!V27),"")</f>
        <v/>
      </c>
    </row>
    <row r="28" spans="1:34" x14ac:dyDescent="0.25">
      <c r="A28" s="3">
        <f t="shared" ca="1" si="0"/>
        <v>3</v>
      </c>
      <c r="B28" s="3" t="str">
        <f t="shared" si="1"/>
        <v>G3</v>
      </c>
      <c r="C28" s="3">
        <v>71</v>
      </c>
      <c r="D28" s="3">
        <v>3</v>
      </c>
      <c r="E28" s="3" t="str">
        <f ca="1">Traduccion!B90</f>
        <v>Túnez</v>
      </c>
      <c r="F28" s="3">
        <f t="shared" ca="1" si="2"/>
        <v>3</v>
      </c>
      <c r="G28" s="3">
        <f ca="1">SUMIFS(FaseGrupos!J:J,FaseGrupos!P:P,Config!E28,FaseGrupos!A:A,"G") + SUMIFS(FaseGrupos!J:J,FaseGrupos!S:S,Config!E28,FaseGrupos!A:A,"G")</f>
        <v>3</v>
      </c>
      <c r="H28" s="3">
        <f ca="1">COUNTIFS(FaseGrupos!K:K,1,FaseGrupos!P:P,Config!E28,FaseGrupos!J:J,1,FaseGrupos!A:A,"G") + COUNTIFS(FaseGrupos!U:U,1,FaseGrupos!S:S,Config!E28,FaseGrupos!J:J,1,FaseGrupos!A:A,"G")</f>
        <v>1</v>
      </c>
      <c r="I28" s="3">
        <f t="shared" ca="1" si="3"/>
        <v>0</v>
      </c>
      <c r="J28" s="3">
        <f ca="1">COUNTIFS(FaseGrupos!U:U,1,FaseGrupos!P:P,Config!E28,FaseGrupos!J:J,1,FaseGrupos!A:A,"G") + COUNTIFS(FaseGrupos!K:K,1,FaseGrupos!S:S,Config!E28,FaseGrupos!J:J,1,FaseGrupos!A:A,"G")</f>
        <v>2</v>
      </c>
      <c r="K28" s="3">
        <f ca="1">SUMIFS(FaseGrupos!Q:Q,FaseGrupos!P:P,Config!E28,FaseGrupos!J:J,1,FaseGrupos!A:A,"G") + SUMIFS(FaseGrupos!R:R,FaseGrupos!S:S,Config!E28,FaseGrupos!J:J,1,FaseGrupos!A:A,"G")</f>
        <v>5</v>
      </c>
      <c r="L28" s="3">
        <f ca="1">SUMIFS(FaseGrupos!R:R,FaseGrupos!P:P,Config!E28,FaseGrupos!J:J,1,FaseGrupos!A:A,"G") + SUMIFS(FaseGrupos!Q:Q,FaseGrupos!S:S,Config!E28,FaseGrupos!J:J,1,FaseGrupos!A:A,"G")</f>
        <v>8</v>
      </c>
      <c r="M28" s="3">
        <f t="shared" ca="1" si="4"/>
        <v>-3</v>
      </c>
      <c r="N28" s="3">
        <f ca="1">_xlfn.RANK.EQ(F28,F26:F29,0)</f>
        <v>3</v>
      </c>
      <c r="O28" s="3">
        <f ca="1">SUMPRODUCT((N26:N29=N28)*(M26:M29&gt;M28))</f>
        <v>0</v>
      </c>
      <c r="P28" s="3">
        <f ca="1">SUMPRODUCT((N26:N29=N28)*(O26:O29=O28)*(L26:L29&gt;L28))</f>
        <v>0</v>
      </c>
      <c r="Q28" s="3">
        <f ca="1">SUMPRODUCT((N26:N29=N28)*(O26:O29=O28)*(L26:L29=L28)*(FairPlay!C28:C31&gt;FairPlay!C30))</f>
        <v>0</v>
      </c>
      <c r="R28" s="3">
        <f t="shared" ca="1" si="5"/>
        <v>3</v>
      </c>
      <c r="S28" s="3">
        <f ca="1">COUNTIF(R26:R28,R28)-1</f>
        <v>0</v>
      </c>
      <c r="V28" s="5">
        <f>MAX(C:C)</f>
        <v>72</v>
      </c>
      <c r="W28" s="5">
        <f>SUM(W14:W27)</f>
        <v>32</v>
      </c>
      <c r="X28" s="5">
        <f>SUM(X14:X27)</f>
        <v>24</v>
      </c>
      <c r="Y28" s="5">
        <f>SUM(Y14:Y27)</f>
        <v>48</v>
      </c>
      <c r="Z28" s="5">
        <f>SUM(Z14:Z27)</f>
        <v>16</v>
      </c>
      <c r="AA28" s="5">
        <f ca="1">COUNTA(AA14:AA27)-COUNTIF(AA14:AA27,"")</f>
        <v>8</v>
      </c>
    </row>
    <row r="29" spans="1:34" x14ac:dyDescent="0.25">
      <c r="A29" s="4">
        <f t="shared" ca="1" si="0"/>
        <v>2</v>
      </c>
      <c r="B29" s="4" t="str">
        <f t="shared" si="1"/>
        <v>G4</v>
      </c>
      <c r="C29" s="4">
        <v>71</v>
      </c>
      <c r="D29" s="4">
        <v>4</v>
      </c>
      <c r="E29" s="4" t="str">
        <f ca="1">Traduccion!B91</f>
        <v>Inglaterra</v>
      </c>
      <c r="F29" s="4">
        <f t="shared" ca="1" si="2"/>
        <v>6</v>
      </c>
      <c r="G29" s="4">
        <f ca="1">SUMIFS(FaseGrupos!J:J,FaseGrupos!P:P,Config!E29,FaseGrupos!A:A,"G") + SUMIFS(FaseGrupos!J:J,FaseGrupos!S:S,Config!E29,FaseGrupos!A:A,"G")</f>
        <v>3</v>
      </c>
      <c r="H29" s="4">
        <f ca="1">COUNTIFS(FaseGrupos!K:K,1,FaseGrupos!P:P,Config!E29,FaseGrupos!J:J,1,FaseGrupos!A:A,"G") + COUNTIFS(FaseGrupos!U:U,1,FaseGrupos!S:S,Config!E29,FaseGrupos!J:J,1,FaseGrupos!A:A,"G")</f>
        <v>2</v>
      </c>
      <c r="I29" s="4">
        <f t="shared" ca="1" si="3"/>
        <v>0</v>
      </c>
      <c r="J29" s="4">
        <f ca="1">COUNTIFS(FaseGrupos!U:U,1,FaseGrupos!P:P,Config!E29,FaseGrupos!J:J,1,FaseGrupos!A:A,"G") + COUNTIFS(FaseGrupos!K:K,1,FaseGrupos!S:S,Config!E29,FaseGrupos!J:J,1,FaseGrupos!A:A,"G")</f>
        <v>1</v>
      </c>
      <c r="K29" s="4">
        <f ca="1">SUMIFS(FaseGrupos!Q:Q,FaseGrupos!P:P,Config!E29,FaseGrupos!J:J,1,FaseGrupos!A:A,"G") + SUMIFS(FaseGrupos!R:R,FaseGrupos!S:S,Config!E29,FaseGrupos!J:J,1,FaseGrupos!A:A,"G")</f>
        <v>8</v>
      </c>
      <c r="L29" s="4">
        <f ca="1">SUMIFS(FaseGrupos!R:R,FaseGrupos!P:P,Config!E29,FaseGrupos!J:J,1,FaseGrupos!A:A,"G") + SUMIFS(FaseGrupos!Q:Q,FaseGrupos!S:S,Config!E29,FaseGrupos!J:J,1,FaseGrupos!A:A,"G")</f>
        <v>3</v>
      </c>
      <c r="M29" s="4">
        <f t="shared" ca="1" si="4"/>
        <v>5</v>
      </c>
      <c r="N29" s="4">
        <f ca="1">_xlfn.RANK.EQ(F29,F26:F29,0)</f>
        <v>2</v>
      </c>
      <c r="O29" s="4">
        <f ca="1">SUMPRODUCT((N26:N29=N29)*(M26:M29&gt;M29))</f>
        <v>0</v>
      </c>
      <c r="P29" s="4">
        <f ca="1">SUMPRODUCT((N26:N29=N29)*(O26:O29=O29)*(L26:L29&gt;L29))</f>
        <v>0</v>
      </c>
      <c r="Q29" s="4">
        <f ca="1">SUMPRODUCT((N26:N29=N29)*(O26:O29=O29)*(L26:L29=L29)*(FairPlay!C28:C31&gt;FairPlay!C31))</f>
        <v>0</v>
      </c>
      <c r="R29" s="4">
        <f t="shared" ca="1" si="5"/>
        <v>2</v>
      </c>
      <c r="S29" s="4">
        <f ca="1">COUNTIF(R26:R29,R29)-1</f>
        <v>0</v>
      </c>
    </row>
    <row r="30" spans="1:34" x14ac:dyDescent="0.25">
      <c r="A30" s="3">
        <f t="shared" ca="1" si="0"/>
        <v>1</v>
      </c>
      <c r="B30" s="3" t="str">
        <f t="shared" si="1"/>
        <v>H1</v>
      </c>
      <c r="C30" s="3">
        <v>72</v>
      </c>
      <c r="D30" s="3">
        <v>1</v>
      </c>
      <c r="E30" s="3" t="str">
        <f ca="1">Traduccion!B92</f>
        <v>Colombia</v>
      </c>
      <c r="F30" s="3">
        <f t="shared" ca="1" si="2"/>
        <v>6</v>
      </c>
      <c r="G30" s="3">
        <f ca="1">SUMIFS(FaseGrupos!J:J,FaseGrupos!P:P,Config!E30,FaseGrupos!A:A,"G") + SUMIFS(FaseGrupos!J:J,FaseGrupos!S:S,Config!E30,FaseGrupos!A:A,"G")</f>
        <v>3</v>
      </c>
      <c r="H30" s="3">
        <f ca="1">COUNTIFS(FaseGrupos!K:K,1,FaseGrupos!P:P,Config!E30,FaseGrupos!J:J,1,FaseGrupos!A:A,"G") + COUNTIFS(FaseGrupos!U:U,1,FaseGrupos!S:S,Config!E30,FaseGrupos!J:J,1,FaseGrupos!A:A,"G")</f>
        <v>2</v>
      </c>
      <c r="I30" s="3">
        <f t="shared" ca="1" si="3"/>
        <v>0</v>
      </c>
      <c r="J30" s="3">
        <f ca="1">COUNTIFS(FaseGrupos!U:U,1,FaseGrupos!P:P,Config!E30,FaseGrupos!J:J,1,FaseGrupos!A:A,"G") + COUNTIFS(FaseGrupos!K:K,1,FaseGrupos!S:S,Config!E30,FaseGrupos!J:J,1,FaseGrupos!A:A,"G")</f>
        <v>1</v>
      </c>
      <c r="K30" s="3">
        <f ca="1">SUMIFS(FaseGrupos!Q:Q,FaseGrupos!P:P,Config!E30,FaseGrupos!J:J,1,FaseGrupos!A:A,"G") + SUMIFS(FaseGrupos!R:R,FaseGrupos!S:S,Config!E30,FaseGrupos!J:J,1,FaseGrupos!A:A,"G")</f>
        <v>5</v>
      </c>
      <c r="L30" s="3">
        <f ca="1">SUMIFS(FaseGrupos!R:R,FaseGrupos!P:P,Config!E30,FaseGrupos!J:J,1,FaseGrupos!A:A,"G") + SUMIFS(FaseGrupos!Q:Q,FaseGrupos!S:S,Config!E30,FaseGrupos!J:J,1,FaseGrupos!A:A,"G")</f>
        <v>2</v>
      </c>
      <c r="M30" s="3">
        <f t="shared" ca="1" si="4"/>
        <v>3</v>
      </c>
      <c r="N30" s="3">
        <f ca="1">_xlfn.RANK.EQ(F30,F30:F33,0)</f>
        <v>1</v>
      </c>
      <c r="O30" s="3">
        <f ca="1">SUMPRODUCT((N30:N33=N30)*(M30:M33&gt;M30))</f>
        <v>0</v>
      </c>
      <c r="P30" s="3">
        <f ca="1">SUMPRODUCT((N30:N33=N30)*(O30:O33=O30)*(L30:L33&gt;L30))</f>
        <v>0</v>
      </c>
      <c r="Q30" s="3">
        <f ca="1">SUMPRODUCT((N30:N33=N30)*(O30:O33=O30)*(L30:L33=L30)*(FairPlay!C32:C35&gt;FairPlay!C32))</f>
        <v>0</v>
      </c>
      <c r="R30" s="3">
        <f t="shared" ca="1" si="5"/>
        <v>1</v>
      </c>
      <c r="S30" s="3">
        <f ca="1">COUNTIF(R30:R30,R30)-1</f>
        <v>0</v>
      </c>
    </row>
    <row r="31" spans="1:34" x14ac:dyDescent="0.25">
      <c r="A31" s="3">
        <f t="shared" ca="1" si="0"/>
        <v>2</v>
      </c>
      <c r="B31" s="3" t="str">
        <f t="shared" si="1"/>
        <v>H2</v>
      </c>
      <c r="C31" s="3">
        <v>72</v>
      </c>
      <c r="D31" s="3">
        <v>2</v>
      </c>
      <c r="E31" s="3" t="str">
        <f ca="1">Traduccion!B93</f>
        <v>Japón</v>
      </c>
      <c r="F31" s="3">
        <f t="shared" ca="1" si="2"/>
        <v>4</v>
      </c>
      <c r="G31" s="3">
        <f ca="1">SUMIFS(FaseGrupos!J:J,FaseGrupos!P:P,Config!E31,FaseGrupos!A:A,"G") + SUMIFS(FaseGrupos!J:J,FaseGrupos!S:S,Config!E31,FaseGrupos!A:A,"G")</f>
        <v>3</v>
      </c>
      <c r="H31" s="3">
        <f ca="1">COUNTIFS(FaseGrupos!K:K,1,FaseGrupos!P:P,Config!E31,FaseGrupos!J:J,1,FaseGrupos!A:A,"G") + COUNTIFS(FaseGrupos!U:U,1,FaseGrupos!S:S,Config!E31,FaseGrupos!J:J,1,FaseGrupos!A:A,"G")</f>
        <v>1</v>
      </c>
      <c r="I31" s="3">
        <f t="shared" ca="1" si="3"/>
        <v>1</v>
      </c>
      <c r="J31" s="3">
        <f ca="1">COUNTIFS(FaseGrupos!U:U,1,FaseGrupos!P:P,Config!E31,FaseGrupos!J:J,1,FaseGrupos!A:A,"G") + COUNTIFS(FaseGrupos!K:K,1,FaseGrupos!S:S,Config!E31,FaseGrupos!J:J,1,FaseGrupos!A:A,"G")</f>
        <v>1</v>
      </c>
      <c r="K31" s="3">
        <f ca="1">SUMIFS(FaseGrupos!Q:Q,FaseGrupos!P:P,Config!E31,FaseGrupos!J:J,1,FaseGrupos!A:A,"G") + SUMIFS(FaseGrupos!R:R,FaseGrupos!S:S,Config!E31,FaseGrupos!J:J,1,FaseGrupos!A:A,"G")</f>
        <v>4</v>
      </c>
      <c r="L31" s="3">
        <f ca="1">SUMIFS(FaseGrupos!R:R,FaseGrupos!P:P,Config!E31,FaseGrupos!J:J,1,FaseGrupos!A:A,"G") + SUMIFS(FaseGrupos!Q:Q,FaseGrupos!S:S,Config!E31,FaseGrupos!J:J,1,FaseGrupos!A:A,"G")</f>
        <v>4</v>
      </c>
      <c r="M31" s="3">
        <f t="shared" ca="1" si="4"/>
        <v>0</v>
      </c>
      <c r="N31" s="3">
        <f ca="1">_xlfn.RANK.EQ(F31,F30:F33,0)</f>
        <v>2</v>
      </c>
      <c r="O31" s="3">
        <f ca="1">SUMPRODUCT((N30:N33=N31)*(M30:M33&gt;M31))</f>
        <v>0</v>
      </c>
      <c r="P31" s="3">
        <f ca="1">SUMPRODUCT((N30:N33=N31)*(O30:O33=O31)*(L30:L33&gt;L31))</f>
        <v>0</v>
      </c>
      <c r="Q31" s="3">
        <f ca="1">SUMPRODUCT((N30:N33=N31)*(O30:O33=O31)*(L30:L33=L31)*(FairPlay!C32:C35&gt;FairPlay!C33))</f>
        <v>0</v>
      </c>
      <c r="R31" s="3">
        <f t="shared" ca="1" si="5"/>
        <v>2</v>
      </c>
      <c r="S31" s="3">
        <f ca="1">COUNTIF(R30:R31,R31)-1</f>
        <v>0</v>
      </c>
      <c r="V31" t="s">
        <v>406</v>
      </c>
    </row>
    <row r="32" spans="1:34" x14ac:dyDescent="0.25">
      <c r="A32" s="3">
        <f t="shared" ca="1" si="0"/>
        <v>4</v>
      </c>
      <c r="B32" s="3" t="str">
        <f t="shared" si="1"/>
        <v>H3</v>
      </c>
      <c r="C32" s="3">
        <v>72</v>
      </c>
      <c r="D32" s="3">
        <v>3</v>
      </c>
      <c r="E32" s="3" t="str">
        <f ca="1">Traduccion!B94</f>
        <v>Polonia</v>
      </c>
      <c r="F32" s="3">
        <f t="shared" ca="1" si="2"/>
        <v>3</v>
      </c>
      <c r="G32" s="3">
        <f ca="1">SUMIFS(FaseGrupos!J:J,FaseGrupos!P:P,Config!E32,FaseGrupos!A:A,"G") + SUMIFS(FaseGrupos!J:J,FaseGrupos!S:S,Config!E32,FaseGrupos!A:A,"G")</f>
        <v>3</v>
      </c>
      <c r="H32" s="3">
        <f ca="1">COUNTIFS(FaseGrupos!K:K,1,FaseGrupos!P:P,Config!E32,FaseGrupos!J:J,1,FaseGrupos!A:A,"G") + COUNTIFS(FaseGrupos!U:U,1,FaseGrupos!S:S,Config!E32,FaseGrupos!J:J,1,FaseGrupos!A:A,"G")</f>
        <v>1</v>
      </c>
      <c r="I32" s="3">
        <f t="shared" ca="1" si="3"/>
        <v>0</v>
      </c>
      <c r="J32" s="3">
        <f ca="1">COUNTIFS(FaseGrupos!U:U,1,FaseGrupos!P:P,Config!E32,FaseGrupos!J:J,1,FaseGrupos!A:A,"G") + COUNTIFS(FaseGrupos!K:K,1,FaseGrupos!S:S,Config!E32,FaseGrupos!J:J,1,FaseGrupos!A:A,"G")</f>
        <v>2</v>
      </c>
      <c r="K32" s="3">
        <f ca="1">SUMIFS(FaseGrupos!Q:Q,FaseGrupos!P:P,Config!E32,FaseGrupos!J:J,1,FaseGrupos!A:A,"G") + SUMIFS(FaseGrupos!R:R,FaseGrupos!S:S,Config!E32,FaseGrupos!J:J,1,FaseGrupos!A:A,"G")</f>
        <v>2</v>
      </c>
      <c r="L32" s="3">
        <f ca="1">SUMIFS(FaseGrupos!R:R,FaseGrupos!P:P,Config!E32,FaseGrupos!J:J,1,FaseGrupos!A:A,"G") + SUMIFS(FaseGrupos!Q:Q,FaseGrupos!S:S,Config!E32,FaseGrupos!J:J,1,FaseGrupos!A:A,"G")</f>
        <v>5</v>
      </c>
      <c r="M32" s="3">
        <f t="shared" ca="1" si="4"/>
        <v>-3</v>
      </c>
      <c r="N32" s="3">
        <f ca="1">_xlfn.RANK.EQ(F32,F30:F33,0)</f>
        <v>4</v>
      </c>
      <c r="O32" s="3">
        <f ca="1">SUMPRODUCT((N30:N33=N32)*(M30:M33&gt;M32))</f>
        <v>0</v>
      </c>
      <c r="P32" s="3">
        <f ca="1">SUMPRODUCT((N30:N33=N32)*(O30:O33=O32)*(L30:L33&gt;L32))</f>
        <v>0</v>
      </c>
      <c r="Q32" s="3">
        <f ca="1">SUMPRODUCT((N30:N33=N32)*(O30:O33=O32)*(L30:L33=L32)*(FairPlay!C32:C35&gt;FairPlay!C34))</f>
        <v>0</v>
      </c>
      <c r="R32" s="3">
        <f t="shared" ca="1" si="5"/>
        <v>4</v>
      </c>
      <c r="S32" s="3">
        <f ca="1">COUNTIF(R30:R32,R32)-1</f>
        <v>0</v>
      </c>
      <c r="V32" t="s">
        <v>407</v>
      </c>
    </row>
    <row r="33" spans="1:22" x14ac:dyDescent="0.25">
      <c r="A33" s="4">
        <f t="shared" ca="1" si="0"/>
        <v>3</v>
      </c>
      <c r="B33" s="4" t="str">
        <f t="shared" si="1"/>
        <v>H4</v>
      </c>
      <c r="C33" s="4">
        <v>72</v>
      </c>
      <c r="D33" s="4">
        <v>4</v>
      </c>
      <c r="E33" s="4" t="str">
        <f ca="1">Traduccion!B95</f>
        <v>Senegal</v>
      </c>
      <c r="F33" s="4">
        <f t="shared" ca="1" si="2"/>
        <v>4</v>
      </c>
      <c r="G33" s="4">
        <f ca="1">SUMIFS(FaseGrupos!J:J,FaseGrupos!P:P,Config!E33,FaseGrupos!A:A,"G") + SUMIFS(FaseGrupos!J:J,FaseGrupos!S:S,Config!E33,FaseGrupos!A:A,"G")</f>
        <v>3</v>
      </c>
      <c r="H33" s="4">
        <f ca="1">COUNTIFS(FaseGrupos!K:K,1,FaseGrupos!P:P,Config!E33,FaseGrupos!J:J,1,FaseGrupos!A:A,"G") + COUNTIFS(FaseGrupos!U:U,1,FaseGrupos!S:S,Config!E33,FaseGrupos!J:J,1,FaseGrupos!A:A,"G")</f>
        <v>1</v>
      </c>
      <c r="I33" s="4">
        <f t="shared" ca="1" si="3"/>
        <v>1</v>
      </c>
      <c r="J33" s="4">
        <f ca="1">COUNTIFS(FaseGrupos!U:U,1,FaseGrupos!P:P,Config!E33,FaseGrupos!J:J,1,FaseGrupos!A:A,"G") + COUNTIFS(FaseGrupos!K:K,1,FaseGrupos!S:S,Config!E33,FaseGrupos!J:J,1,FaseGrupos!A:A,"G")</f>
        <v>1</v>
      </c>
      <c r="K33" s="4">
        <f ca="1">SUMIFS(FaseGrupos!Q:Q,FaseGrupos!P:P,Config!E33,FaseGrupos!J:J,1,FaseGrupos!A:A,"G") + SUMIFS(FaseGrupos!R:R,FaseGrupos!S:S,Config!E33,FaseGrupos!J:J,1,FaseGrupos!A:A,"G")</f>
        <v>4</v>
      </c>
      <c r="L33" s="4">
        <f ca="1">SUMIFS(FaseGrupos!R:R,FaseGrupos!P:P,Config!E33,FaseGrupos!J:J,1,FaseGrupos!A:A,"G") + SUMIFS(FaseGrupos!Q:Q,FaseGrupos!S:S,Config!E33,FaseGrupos!J:J,1,FaseGrupos!A:A,"G")</f>
        <v>4</v>
      </c>
      <c r="M33" s="4">
        <f t="shared" ca="1" si="4"/>
        <v>0</v>
      </c>
      <c r="N33" s="4">
        <f ca="1">_xlfn.RANK.EQ(F33,F30:F33,0)</f>
        <v>2</v>
      </c>
      <c r="O33" s="4">
        <f ca="1">SUMPRODUCT((N30:N33=N33)*(M30:M33&gt;M33))</f>
        <v>0</v>
      </c>
      <c r="P33" s="4">
        <f ca="1">SUMPRODUCT((N30:N33=N33)*(O30:O33=O33)*(L30:L33&gt;L33))</f>
        <v>0</v>
      </c>
      <c r="Q33" s="4">
        <f ca="1">SUMPRODUCT((N30:N33=N33)*(O30:O33=O33)*(L30:L33=L33)*(FairPlay!C32:C35&gt;FairPlay!C35))</f>
        <v>1</v>
      </c>
      <c r="R33" s="4">
        <f t="shared" ca="1" si="5"/>
        <v>3</v>
      </c>
      <c r="S33" s="4">
        <f ca="1">COUNTIF(R30:R33,R33)-1</f>
        <v>0</v>
      </c>
      <c r="V33" s="2" t="s">
        <v>408</v>
      </c>
    </row>
  </sheetData>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A1:W29"/>
  <sheetViews>
    <sheetView showGridLines="0" showRowColHeaders="0" workbookViewId="0"/>
  </sheetViews>
  <sheetFormatPr baseColWidth="10" defaultColWidth="0" defaultRowHeight="15.75" zeroHeight="1" x14ac:dyDescent="0.25"/>
  <cols>
    <col min="1" max="1" width="3.28515625" style="42" customWidth="1"/>
    <col min="2" max="4" width="11.42578125" style="41" customWidth="1"/>
    <col min="5" max="5" width="8.140625" style="41" customWidth="1"/>
    <col min="6" max="6" width="3.28515625" style="41" customWidth="1"/>
    <col min="7" max="7" width="14.42578125" style="41" customWidth="1"/>
    <col min="8" max="9" width="3.28515625" style="41" customWidth="1"/>
    <col min="10" max="10" width="14.42578125" style="41" customWidth="1"/>
    <col min="11" max="11" width="3.28515625" style="41" customWidth="1"/>
    <col min="12" max="12" width="3.5703125" style="41" customWidth="1"/>
    <col min="13" max="13" width="24.85546875" style="41" bestFit="1" customWidth="1"/>
    <col min="14" max="14" width="17.7109375" style="41" bestFit="1" customWidth="1"/>
    <col min="15" max="17" width="17.7109375" style="41" hidden="1" customWidth="1"/>
    <col min="18" max="18" width="3.140625" style="41" customWidth="1"/>
    <col min="19" max="23" width="0" style="41" hidden="1" customWidth="1"/>
    <col min="24" max="16384" width="11.42578125" style="41" hidden="1"/>
  </cols>
  <sheetData>
    <row r="1" spans="1:17" ht="109.5" customHeight="1" x14ac:dyDescent="0.25"/>
    <row r="2" spans="1:17" ht="7.5" customHeight="1" x14ac:dyDescent="0.25"/>
    <row r="3" spans="1:17" ht="23.25" x14ac:dyDescent="0.35">
      <c r="B3" s="93" t="str">
        <f ca="1">Traduccion!B20</f>
        <v>Selección a Selección</v>
      </c>
    </row>
    <row r="4" spans="1:17" x14ac:dyDescent="0.25">
      <c r="B4" s="42" t="str">
        <f ca="1">INDEX(ConfigPaises!I2:I33,MATCH(Equipos!G5,ConfigPaises!A2:A33,0))</f>
        <v>ConfigPaises!$H$10</v>
      </c>
    </row>
    <row r="5" spans="1:17" ht="22.5" customHeight="1" x14ac:dyDescent="0.35">
      <c r="B5" s="157"/>
      <c r="C5" s="157"/>
      <c r="D5" s="157"/>
      <c r="E5" s="42"/>
      <c r="G5" s="163" t="s">
        <v>11</v>
      </c>
      <c r="H5" s="164"/>
      <c r="I5" s="164"/>
      <c r="J5" s="165"/>
      <c r="K5" s="99"/>
      <c r="L5" s="162" t="str">
        <f ca="1">"&lt;- " &amp; Traduccion!B58 &amp; " " &amp; Traduccion!B59</f>
        <v>&lt;- Clic sobre el nombre para cambiar de selección</v>
      </c>
      <c r="M5" s="162"/>
      <c r="N5" s="162"/>
      <c r="O5" s="100"/>
      <c r="P5" s="100"/>
      <c r="Q5" s="100"/>
    </row>
    <row r="6" spans="1:17" ht="18" customHeight="1" x14ac:dyDescent="0.25">
      <c r="B6" s="157"/>
      <c r="C6" s="157"/>
      <c r="D6" s="157"/>
      <c r="E6" s="42"/>
      <c r="G6" s="42">
        <v>5</v>
      </c>
      <c r="H6" s="42">
        <v>6</v>
      </c>
      <c r="I6" s="42">
        <v>7</v>
      </c>
      <c r="J6" s="42">
        <v>8</v>
      </c>
      <c r="K6" s="42"/>
      <c r="L6" s="42"/>
      <c r="M6" s="42">
        <v>15</v>
      </c>
      <c r="N6" s="42">
        <v>16</v>
      </c>
      <c r="O6" s="42"/>
      <c r="P6" s="42"/>
      <c r="Q6" s="42"/>
    </row>
    <row r="7" spans="1:17" x14ac:dyDescent="0.25">
      <c r="B7" s="157"/>
      <c r="C7" s="157"/>
      <c r="D7" s="157"/>
      <c r="E7" s="42"/>
      <c r="G7" s="155" t="str">
        <f ca="1">Traduccion!B51</f>
        <v>Fase de Grupos</v>
      </c>
      <c r="H7" s="155"/>
      <c r="I7" s="155"/>
      <c r="J7" s="155"/>
      <c r="K7" s="19"/>
      <c r="L7" s="102"/>
      <c r="M7" s="52" t="str">
        <f ca="1">Traduccion!B14</f>
        <v>Estadio</v>
      </c>
      <c r="N7" s="52" t="str">
        <f ca="1">Traduccion!B15</f>
        <v>Horario</v>
      </c>
      <c r="O7" s="41">
        <f ca="1">IF(OR(N7=$N$7,N7=""),-100*ROW(),IF(NOW()&gt;=N7,1/1/1970,N7))</f>
        <v>-700</v>
      </c>
      <c r="P7" s="41" t="str">
        <f ca="1">IF(O7&lt;0,"",COUNTIF($O$7:O7,O7)+5*ROW())</f>
        <v/>
      </c>
      <c r="Q7" s="41" t="e">
        <f ca="1">_xlfn.RANK.EQ(P7,$P$7:$P$18,0)</f>
        <v>#VALUE!</v>
      </c>
    </row>
    <row r="8" spans="1:17" x14ac:dyDescent="0.25">
      <c r="B8" s="157"/>
      <c r="C8" s="157"/>
      <c r="D8" s="157"/>
      <c r="E8" s="42">
        <v>1</v>
      </c>
      <c r="G8" s="97" t="str">
        <f ca="1">IF(ISBLANK(INDEX(FaseGrupos!$L$5:$AA$53,MATCH(Equipos!$E8,FaseGrupos!$L$5:$L$53,0),Equipos!G$6)),"",INDEX(FaseGrupos!$L$5:$AA$53,MATCH(Equipos!$E8,FaseGrupos!$L$5:$L$53,0),Equipos!G$6))</f>
        <v>Francia</v>
      </c>
      <c r="H8" s="103">
        <f ca="1">IF(ISBLANK(INDEX(FaseGrupos!$L$5:$AA$53,MATCH(Equipos!$E8,FaseGrupos!$L$5:$L$53,0),Equipos!H$6)),"",INDEX(FaseGrupos!$L$5:$AA$53,MATCH(Equipos!$E8,FaseGrupos!$L$5:$L$53,0),Equipos!H$6))</f>
        <v>2</v>
      </c>
      <c r="I8" s="103">
        <f ca="1">IF(ISBLANK(INDEX(FaseGrupos!$L$5:$AA$53,MATCH(Equipos!$E8,FaseGrupos!$L$5:$L$53,0),Equipos!I$6)),"",INDEX(FaseGrupos!$L$5:$AA$53,MATCH(Equipos!$E8,FaseGrupos!$L$5:$L$53,0),Equipos!I$6))</f>
        <v>1</v>
      </c>
      <c r="J8" s="97" t="str">
        <f ca="1">IF(ISBLANK(INDEX(FaseGrupos!$L$5:$AA$53,MATCH(Equipos!$E8,FaseGrupos!$L$5:$L$53,0),Equipos!J$6)),"",INDEX(FaseGrupos!$L$5:$AA$53,MATCH(Equipos!$E8,FaseGrupos!$L$5:$L$53,0),Equipos!J$6))</f>
        <v>Australia</v>
      </c>
      <c r="K8" s="19"/>
      <c r="L8" s="19"/>
      <c r="M8" s="58" t="str">
        <f ca="1">IF(ISBLANK(INDEX(FaseGrupos!$L$5:$AA$53,MATCH(Equipos!$E8,FaseGrupos!$L$5:$L$53,0),Equipos!M$6)),"",INDEX(FaseGrupos!$L$5:$AA$53,MATCH(Equipos!$E8,FaseGrupos!$L$5:$L$53,0),Equipos!M$6))</f>
        <v>Kazán Arena</v>
      </c>
      <c r="N8" s="59">
        <f ca="1">IF(ISBLANK(INDEX(FaseGrupos!$L$5:$AA$53,MATCH(Equipos!$E8,FaseGrupos!$L$5:$L$53,0),Equipos!N$6)),"",INDEX(FaseGrupos!$L$5:$AA$53,MATCH(Equipos!$E8,FaseGrupos!$L$5:$L$53,0),Equipos!N$6))</f>
        <v>43267.5</v>
      </c>
      <c r="O8" s="41">
        <f t="shared" ref="O8:O18" ca="1" si="0">IF(OR(N8=$N$7,N8=""),-100*ROW(),IF(NOW()&gt;=N8,1/1/1970,N8))</f>
        <v>5.0761421319796957E-4</v>
      </c>
      <c r="P8" s="41">
        <f ca="1">IF(O8&lt;0,"",COUNTIF($O$7:O8,O8)+5*ROW())</f>
        <v>41</v>
      </c>
      <c r="Q8" s="41">
        <f t="shared" ref="Q8:Q18" ca="1" si="1">_xlfn.RANK.EQ(P8,$P$7:$P$18,0)</f>
        <v>7</v>
      </c>
    </row>
    <row r="9" spans="1:17" x14ac:dyDescent="0.25">
      <c r="B9" s="157"/>
      <c r="C9" s="157"/>
      <c r="D9" s="157"/>
      <c r="E9" s="42">
        <v>2</v>
      </c>
      <c r="G9" s="97" t="str">
        <f ca="1">IF(ISBLANK(INDEX(FaseGrupos!$L$5:$AA$53,MATCH(Equipos!$E9,FaseGrupos!$L$5:$L$53,0),Equipos!G$6)),"",INDEX(FaseGrupos!$L$5:$AA$53,MATCH(Equipos!$E9,FaseGrupos!$L$5:$L$53,0),Equipos!G$6))</f>
        <v>Perú</v>
      </c>
      <c r="H9" s="103">
        <f ca="1">IF(ISBLANK(INDEX(FaseGrupos!$L$5:$AA$53,MATCH(Equipos!$E9,FaseGrupos!$L$5:$L$53,0),Equipos!H$6)),"",INDEX(FaseGrupos!$L$5:$AA$53,MATCH(Equipos!$E9,FaseGrupos!$L$5:$L$53,0),Equipos!H$6))</f>
        <v>0</v>
      </c>
      <c r="I9" s="103">
        <f ca="1">IF(ISBLANK(INDEX(FaseGrupos!$L$5:$AA$53,MATCH(Equipos!$E9,FaseGrupos!$L$5:$L$53,0),Equipos!I$6)),"",INDEX(FaseGrupos!$L$5:$AA$53,MATCH(Equipos!$E9,FaseGrupos!$L$5:$L$53,0),Equipos!I$6))</f>
        <v>1</v>
      </c>
      <c r="J9" s="97" t="str">
        <f ca="1">IF(ISBLANK(INDEX(FaseGrupos!$L$5:$AA$53,MATCH(Equipos!$E9,FaseGrupos!$L$5:$L$53,0),Equipos!J$6)),"",INDEX(FaseGrupos!$L$5:$AA$53,MATCH(Equipos!$E9,FaseGrupos!$L$5:$L$53,0),Equipos!J$6))</f>
        <v>Francia</v>
      </c>
      <c r="K9" s="19"/>
      <c r="L9" s="19"/>
      <c r="M9" s="58" t="str">
        <f ca="1">IF(ISBLANK(INDEX(FaseGrupos!$L$5:$AA$53,MATCH(Equipos!$E9,FaseGrupos!$L$5:$L$53,0),Equipos!M$6)),"",INDEX(FaseGrupos!$L$5:$AA$53,MATCH(Equipos!$E9,FaseGrupos!$L$5:$L$53,0),Equipos!M$6))</f>
        <v>Ekaterimburgo Arena</v>
      </c>
      <c r="N9" s="59">
        <f ca="1">IF(ISBLANK(INDEX(FaseGrupos!$L$5:$AA$53,MATCH(Equipos!$E9,FaseGrupos!$L$5:$L$53,0),Equipos!N$6)),"",INDEX(FaseGrupos!$L$5:$AA$53,MATCH(Equipos!$E9,FaseGrupos!$L$5:$L$53,0),Equipos!N$6))</f>
        <v>43272.708333333336</v>
      </c>
      <c r="O9" s="41">
        <f t="shared" ca="1" si="0"/>
        <v>5.0761421319796957E-4</v>
      </c>
      <c r="P9" s="41">
        <f ca="1">IF(O9&lt;0,"",COUNTIF($O$7:O9,O9)+5*ROW())</f>
        <v>47</v>
      </c>
      <c r="Q9" s="41">
        <f t="shared" ca="1" si="1"/>
        <v>6</v>
      </c>
    </row>
    <row r="10" spans="1:17" x14ac:dyDescent="0.25">
      <c r="B10" s="157"/>
      <c r="C10" s="157"/>
      <c r="D10" s="157"/>
      <c r="E10" s="42">
        <v>3</v>
      </c>
      <c r="G10" s="97" t="str">
        <f ca="1">IF(ISBLANK(INDEX(FaseGrupos!$L$5:$AA$53,MATCH(Equipos!$E10,FaseGrupos!$L$5:$L$53,0),Equipos!G$6)),"",INDEX(FaseGrupos!$L$5:$AA$53,MATCH(Equipos!$E10,FaseGrupos!$L$5:$L$53,0),Equipos!G$6))</f>
        <v>Dinamarca</v>
      </c>
      <c r="H10" s="103">
        <f ca="1">IF(ISBLANK(INDEX(FaseGrupos!$L$5:$AA$53,MATCH(Equipos!$E10,FaseGrupos!$L$5:$L$53,0),Equipos!H$6)),"",INDEX(FaseGrupos!$L$5:$AA$53,MATCH(Equipos!$E10,FaseGrupos!$L$5:$L$53,0),Equipos!H$6))</f>
        <v>0</v>
      </c>
      <c r="I10" s="103">
        <f ca="1">IF(ISBLANK(INDEX(FaseGrupos!$L$5:$AA$53,MATCH(Equipos!$E10,FaseGrupos!$L$5:$L$53,0),Equipos!I$6)),"",INDEX(FaseGrupos!$L$5:$AA$53,MATCH(Equipos!$E10,FaseGrupos!$L$5:$L$53,0),Equipos!I$6))</f>
        <v>0</v>
      </c>
      <c r="J10" s="97" t="str">
        <f ca="1">IF(ISBLANK(INDEX(FaseGrupos!$L$5:$AA$53,MATCH(Equipos!$E10,FaseGrupos!$L$5:$L$53,0),Equipos!J$6)),"",INDEX(FaseGrupos!$L$5:$AA$53,MATCH(Equipos!$E10,FaseGrupos!$L$5:$L$53,0),Equipos!J$6))</f>
        <v>Francia</v>
      </c>
      <c r="K10" s="19"/>
      <c r="L10" s="19"/>
      <c r="M10" s="58" t="str">
        <f ca="1">IF(ISBLANK(INDEX(FaseGrupos!$L$5:$AA$53,MATCH(Equipos!$E10,FaseGrupos!$L$5:$L$53,0),Equipos!M$6)),"",INDEX(FaseGrupos!$L$5:$AA$53,MATCH(Equipos!$E10,FaseGrupos!$L$5:$L$53,0),Equipos!M$6))</f>
        <v>Estadio Olímpico Luzhniki</v>
      </c>
      <c r="N10" s="59">
        <f ca="1">IF(ISBLANK(INDEX(FaseGrupos!$L$5:$AA$53,MATCH(Equipos!$E10,FaseGrupos!$L$5:$L$53,0),Equipos!N$6)),"",INDEX(FaseGrupos!$L$5:$AA$53,MATCH(Equipos!$E10,FaseGrupos!$L$5:$L$53,0),Equipos!N$6))</f>
        <v>43277.666666666664</v>
      </c>
      <c r="O10" s="41">
        <f t="shared" ca="1" si="0"/>
        <v>5.0761421319796957E-4</v>
      </c>
      <c r="P10" s="41">
        <f ca="1">IF(O10&lt;0,"",COUNTIF($O$7:O10,O10)+5*ROW())</f>
        <v>53</v>
      </c>
      <c r="Q10" s="41">
        <f t="shared" ca="1" si="1"/>
        <v>5</v>
      </c>
    </row>
    <row r="11" spans="1:17" x14ac:dyDescent="0.25">
      <c r="B11" s="157"/>
      <c r="C11" s="157"/>
      <c r="D11" s="157"/>
      <c r="E11" s="42"/>
      <c r="G11" s="166" t="str">
        <f ca="1">IF(OR(G12="",J12=""),"",Traduccion!B52)</f>
        <v>Octavos de final</v>
      </c>
      <c r="H11" s="166"/>
      <c r="I11" s="166"/>
      <c r="J11" s="166"/>
      <c r="K11" s="103"/>
      <c r="L11" s="103"/>
      <c r="M11" s="103" t="str">
        <f ca="1">IF($J12="","",M$7)</f>
        <v>Estadio</v>
      </c>
      <c r="N11" s="103" t="str">
        <f ca="1">IF($J12="","",N$7)</f>
        <v>Horario</v>
      </c>
      <c r="O11" s="41">
        <f t="shared" ca="1" si="0"/>
        <v>-1100</v>
      </c>
      <c r="P11" s="41" t="str">
        <f ca="1">IF(O11&lt;0,"",COUNTIF($O$7:O11,O11)+5*ROW())</f>
        <v/>
      </c>
      <c r="Q11" s="41" t="e">
        <f t="shared" ca="1" si="1"/>
        <v>#VALUE!</v>
      </c>
    </row>
    <row r="12" spans="1:17" x14ac:dyDescent="0.25">
      <c r="E12" s="42">
        <v>1</v>
      </c>
      <c r="G12" s="103" t="str">
        <f ca="1">IFERROR(IF(ISBLANK(INDEX(FaseFinal!$L$5:$AA$53,MATCH(Equipos!$E12,FaseFinal!$L$5:$L$53,0),Equipos!G$6)),"",INDEX(FaseFinal!$L$5:$AA$53,MATCH(Equipos!$E12,FaseFinal!$L$5:$L$53,0),Equipos!G$6)),"")</f>
        <v>Francia</v>
      </c>
      <c r="H12" s="103">
        <f ca="1">IFERROR(IF(ISBLANK(INDEX(FaseFinal!$L$5:$AA$53,MATCH(Equipos!$E12,FaseFinal!$L$5:$L$53,0),Equipos!H$6)),"",INDEX(FaseFinal!$L$5:$AA$53,MATCH(Equipos!$E12,FaseFinal!$L$5:$L$53,0),Equipos!H$6)),"")</f>
        <v>4</v>
      </c>
      <c r="I12" s="103">
        <f ca="1">IFERROR(IF(ISBLANK(INDEX(FaseFinal!$L$5:$AA$53,MATCH(Equipos!$E12,FaseFinal!$L$5:$L$53,0),Equipos!I$6)),"",INDEX(FaseFinal!$L$5:$AA$53,MATCH(Equipos!$E12,FaseFinal!$L$5:$L$53,0),Equipos!I$6)),"")</f>
        <v>3</v>
      </c>
      <c r="J12" s="103" t="str">
        <f ca="1">IFERROR(IF(ISBLANK(INDEX(FaseFinal!$L$5:$AA$53,MATCH(Equipos!$E12,FaseFinal!$L$5:$L$53,0),Equipos!J$6)),"",INDEX(FaseFinal!$L$5:$AA$53,MATCH(Equipos!$E12,FaseFinal!$L$5:$L$53,0),Equipos!J$6)),"")</f>
        <v>Argentina</v>
      </c>
      <c r="K12" s="103"/>
      <c r="L12" s="103"/>
      <c r="M12" s="103" t="str">
        <f ca="1">IFERROR(IF(ISBLANK(INDEX(FaseFinal!$L$5:$AA$53,MATCH(Equipos!$E12,FaseFinal!$L$5:$L$53,0),Equipos!M$6)),"",INDEX(FaseFinal!$L$5:$AA$53,MATCH(Equipos!$E12,FaseFinal!$L$5:$L$53,0),Equipos!M$6)),"")</f>
        <v>Estadio Fisht</v>
      </c>
      <c r="N12" s="104">
        <f ca="1">IFERROR(IF(ISBLANK(INDEX(FaseFinal!$L$5:$AA$53,MATCH(Equipos!$E12,FaseFinal!$L$5:$L$53,0),Equipos!N$6)),"",INDEX(FaseFinal!$L$5:$AA$53,MATCH(Equipos!$E12,FaseFinal!$L$5:$L$53,0),Equipos!N$6)),"")</f>
        <v>43281.666666666664</v>
      </c>
      <c r="O12" s="41">
        <f t="shared" ca="1" si="0"/>
        <v>5.0761421319796957E-4</v>
      </c>
      <c r="P12" s="41">
        <f ca="1">IF(O12&lt;0,"",COUNTIF($O$7:O12,O12)+5*ROW())</f>
        <v>64</v>
      </c>
      <c r="Q12" s="41">
        <f t="shared" ca="1" si="1"/>
        <v>4</v>
      </c>
    </row>
    <row r="13" spans="1:17" x14ac:dyDescent="0.25">
      <c r="B13" s="155" t="str">
        <f ca="1">Traduccion!B32 &amp; ":"</f>
        <v>Seleccionador:</v>
      </c>
      <c r="C13" s="155"/>
      <c r="D13" s="155"/>
      <c r="E13" s="42"/>
      <c r="G13" s="166" t="str">
        <f ca="1">IF(AND(G14="",J14=""),"",Traduccion!B53)</f>
        <v>Cuartos de final</v>
      </c>
      <c r="H13" s="166"/>
      <c r="I13" s="166"/>
      <c r="J13" s="166"/>
      <c r="K13" s="103"/>
      <c r="L13" s="103"/>
      <c r="M13" s="103" t="str">
        <f ca="1">IF($J14="","",M$7)</f>
        <v>Estadio</v>
      </c>
      <c r="N13" s="103" t="str">
        <f ca="1">IF($J14="","",N$7)</f>
        <v>Horario</v>
      </c>
      <c r="O13" s="41">
        <f t="shared" ca="1" si="0"/>
        <v>-1300</v>
      </c>
      <c r="P13" s="41" t="str">
        <f ca="1">IF(O13&lt;0,"",COUNTIF($O$7:O13,O13)+5*ROW())</f>
        <v/>
      </c>
      <c r="Q13" s="41" t="e">
        <f t="shared" ca="1" si="1"/>
        <v>#VALUE!</v>
      </c>
    </row>
    <row r="14" spans="1:17" x14ac:dyDescent="0.25">
      <c r="A14" s="42">
        <v>2</v>
      </c>
      <c r="B14" s="156" t="str">
        <f ca="1">INDEX(paises_cnf,MATCH($G$5,paises_nombres,0),A14)</f>
        <v>Didier Deschamps</v>
      </c>
      <c r="C14" s="156"/>
      <c r="D14" s="156"/>
      <c r="E14" s="42">
        <v>2</v>
      </c>
      <c r="G14" s="103" t="str">
        <f ca="1">IFERROR(IF(ISBLANK(INDEX(FaseFinal!$L$5:$AA$53,MATCH(Equipos!$E14,FaseFinal!$L$5:$L$53,0),Equipos!G$6)),"",INDEX(FaseFinal!$L$5:$AA$53,MATCH(Equipos!$E14,FaseFinal!$L$5:$L$53,0),Equipos!G$6)),"")</f>
        <v>Uruguay</v>
      </c>
      <c r="H14" s="103">
        <f ca="1">IFERROR(IF(ISBLANK(INDEX(FaseFinal!$L$5:$AA$53,MATCH(Equipos!$E14,FaseFinal!$L$5:$L$53,0),Equipos!H$6)),"",INDEX(FaseFinal!$L$5:$AA$53,MATCH(Equipos!$E14,FaseFinal!$L$5:$L$53,0),Equipos!H$6)),"")</f>
        <v>0</v>
      </c>
      <c r="I14" s="103">
        <f ca="1">IFERROR(IF(ISBLANK(INDEX(FaseFinal!$L$5:$AA$53,MATCH(Equipos!$E14,FaseFinal!$L$5:$L$53,0),Equipos!I$6)),"",INDEX(FaseFinal!$L$5:$AA$53,MATCH(Equipos!$E14,FaseFinal!$L$5:$L$53,0),Equipos!I$6)),"")</f>
        <v>2</v>
      </c>
      <c r="J14" s="103" t="str">
        <f ca="1">IFERROR(IF(ISBLANK(INDEX(FaseFinal!$L$5:$AA$53,MATCH(Equipos!$E14,FaseFinal!$L$5:$L$53,0),Equipos!J$6)),"",INDEX(FaseFinal!$L$5:$AA$53,MATCH(Equipos!$E14,FaseFinal!$L$5:$L$53,0),Equipos!J$6)),"")</f>
        <v>Francia</v>
      </c>
      <c r="K14" s="103"/>
      <c r="L14" s="103"/>
      <c r="M14" s="103" t="str">
        <f ca="1">IFERROR(IF(ISBLANK(INDEX(FaseFinal!$L$5:$AA$53,MATCH(Equipos!$E14,FaseFinal!$L$5:$L$53,0),Equipos!M$6)),"",INDEX(FaseFinal!$L$5:$AA$53,MATCH(Equipos!$E14,FaseFinal!$L$5:$L$53,0),Equipos!M$6)),"")</f>
        <v>Estadio Nizhni Nóvgorod</v>
      </c>
      <c r="N14" s="104">
        <f ca="1">IFERROR(IF(ISBLANK(INDEX(FaseFinal!$L$5:$AA$53,MATCH(Equipos!$E14,FaseFinal!$L$5:$L$53,0),Equipos!N$6)),"",INDEX(FaseFinal!$L$5:$AA$53,MATCH(Equipos!$E14,FaseFinal!$L$5:$L$53,0),Equipos!N$6)),"")</f>
        <v>43287.666666666664</v>
      </c>
      <c r="O14" s="41">
        <f t="shared" ca="1" si="0"/>
        <v>5.0761421319796957E-4</v>
      </c>
      <c r="P14" s="41">
        <f ca="1">IF(O14&lt;0,"",COUNTIF($O$7:O14,O14)+5*ROW())</f>
        <v>75</v>
      </c>
      <c r="Q14" s="41">
        <f t="shared" ca="1" si="1"/>
        <v>3</v>
      </c>
    </row>
    <row r="15" spans="1:17" x14ac:dyDescent="0.25">
      <c r="E15" s="42"/>
      <c r="G15" s="166" t="str">
        <f ca="1">IF(AND(G16="",J16=""),"",Traduccion!B54)</f>
        <v>Semifinales</v>
      </c>
      <c r="H15" s="166"/>
      <c r="I15" s="166"/>
      <c r="J15" s="166"/>
      <c r="K15" s="103"/>
      <c r="L15" s="103"/>
      <c r="M15" s="103" t="str">
        <f ca="1">IF(AND($G16="",$J16=""),"",M$7)</f>
        <v>Estadio</v>
      </c>
      <c r="N15" s="103" t="str">
        <f ca="1">IF(AND($G16="",$J16=""),"",N$7)</f>
        <v>Horario</v>
      </c>
      <c r="O15" s="41">
        <f t="shared" ca="1" si="0"/>
        <v>-1500</v>
      </c>
      <c r="P15" s="41" t="str">
        <f ca="1">IF(O15&lt;0,"",COUNTIF($O$7:O15,O15)+5*ROW())</f>
        <v/>
      </c>
      <c r="Q15" s="41" t="e">
        <f t="shared" ca="1" si="1"/>
        <v>#VALUE!</v>
      </c>
    </row>
    <row r="16" spans="1:17" x14ac:dyDescent="0.25">
      <c r="B16" s="150" t="str">
        <f ca="1">Traduccion!B33 &amp; ":"</f>
        <v>Participaciones:</v>
      </c>
      <c r="C16" s="151"/>
      <c r="D16" s="158"/>
      <c r="E16" s="42">
        <v>3</v>
      </c>
      <c r="G16" s="103" t="str">
        <f ca="1">IFERROR(IF(ISBLANK(INDEX(FaseFinal!$L$5:$AA$53,MATCH(Equipos!$E16,FaseFinal!$L$5:$L$53,0),Equipos!G$6)),"",INDEX(FaseFinal!$L$5:$AA$53,MATCH(Equipos!$E16,FaseFinal!$L$5:$L$53,0),Equipos!G$6)),"")</f>
        <v>Francia</v>
      </c>
      <c r="H16" s="103">
        <f ca="1">IFERROR(IF(ISBLANK(INDEX(FaseFinal!$L$5:$AA$53,MATCH(Equipos!$E16,FaseFinal!$L$5:$L$53,0),Equipos!H$6)),"",INDEX(FaseFinal!$L$5:$AA$53,MATCH(Equipos!$E16,FaseFinal!$L$5:$L$53,0),Equipos!H$6)),"")</f>
        <v>1</v>
      </c>
      <c r="I16" s="103">
        <f ca="1">IFERROR(IF(ISBLANK(INDEX(FaseFinal!$L$5:$AA$53,MATCH(Equipos!$E16,FaseFinal!$L$5:$L$53,0),Equipos!I$6)),"",INDEX(FaseFinal!$L$5:$AA$53,MATCH(Equipos!$E16,FaseFinal!$L$5:$L$53,0),Equipos!I$6)),"")</f>
        <v>0</v>
      </c>
      <c r="J16" s="103" t="str">
        <f ca="1">IFERROR(IF(ISBLANK(INDEX(FaseFinal!$L$5:$AA$53,MATCH(Equipos!$E16,FaseFinal!$L$5:$L$53,0),Equipos!J$6)),"",INDEX(FaseFinal!$L$5:$AA$53,MATCH(Equipos!$E16,FaseFinal!$L$5:$L$53,0),Equipos!J$6)),"")</f>
        <v>Bélgica</v>
      </c>
      <c r="K16" s="103"/>
      <c r="L16" s="103"/>
      <c r="M16" s="103" t="str">
        <f ca="1">IFERROR(IF(ISBLANK(INDEX(FaseFinal!$L$5:$AA$53,MATCH(Equipos!$E16,FaseFinal!$L$5:$L$53,0),Equipos!M$6)),"",INDEX(FaseFinal!$L$5:$AA$53,MATCH(Equipos!$E16,FaseFinal!$L$5:$L$53,0),Equipos!M$6)),"")</f>
        <v>Estadio Krevstoski</v>
      </c>
      <c r="N16" s="104">
        <f ca="1">IFERROR(IF(ISBLANK(INDEX(FaseFinal!$L$5:$AA$53,MATCH(Equipos!$E16,FaseFinal!$L$5:$L$53,0),Equipos!N$6)),"",INDEX(FaseFinal!$L$5:$AA$53,MATCH(Equipos!$E16,FaseFinal!$L$5:$L$53,0),Equipos!N$6)),"")</f>
        <v>43291.833333333336</v>
      </c>
      <c r="O16" s="41">
        <f t="shared" ca="1" si="0"/>
        <v>5.0761421319796957E-4</v>
      </c>
      <c r="P16" s="41">
        <f ca="1">IF(O16&lt;0,"",COUNTIF($O$7:O16,O16)+5*ROW())</f>
        <v>86</v>
      </c>
      <c r="Q16" s="41">
        <f t="shared" ca="1" si="1"/>
        <v>2</v>
      </c>
    </row>
    <row r="17" spans="1:17" x14ac:dyDescent="0.25">
      <c r="A17" s="42">
        <v>3</v>
      </c>
      <c r="B17" s="159">
        <f ca="1">INDEX(paises_cnf,MATCH($G$5,paises_nombres,0),A17)</f>
        <v>15</v>
      </c>
      <c r="C17" s="160"/>
      <c r="D17" s="161"/>
      <c r="E17" s="42"/>
      <c r="G17" s="166" t="str">
        <f ca="1">IF(AND(G18="",J18=""),"",IF(INDEX(FaseFinal!$A$5:$A$53,MATCH(Equipos!$E18,FaseFinal!$L$5:$L$53,0))="T",Traduccion!B55,Traduccion!B56))</f>
        <v>Final</v>
      </c>
      <c r="H17" s="166"/>
      <c r="I17" s="166"/>
      <c r="J17" s="166"/>
      <c r="K17" s="103"/>
      <c r="L17" s="103"/>
      <c r="M17" s="103" t="str">
        <f ca="1">IF(AND($G18="",$J18=""),"",M$7)</f>
        <v>Estadio</v>
      </c>
      <c r="N17" s="103" t="str">
        <f ca="1">IF(AND($G18="",$J18=""),"",N$7)</f>
        <v>Horario</v>
      </c>
      <c r="O17" s="41">
        <f t="shared" ca="1" si="0"/>
        <v>-1700</v>
      </c>
      <c r="P17" s="41" t="str">
        <f ca="1">IF(O17&lt;0,"",COUNTIF($O$7:O17,O17)+5*ROW())</f>
        <v/>
      </c>
      <c r="Q17" s="41" t="e">
        <f t="shared" ca="1" si="1"/>
        <v>#VALUE!</v>
      </c>
    </row>
    <row r="18" spans="1:17" x14ac:dyDescent="0.25">
      <c r="B18" s="150" t="str">
        <f ca="1">Traduccion!B34 &amp; ":"</f>
        <v>Títulos:</v>
      </c>
      <c r="C18" s="151"/>
      <c r="D18" s="158"/>
      <c r="E18" s="42">
        <v>4</v>
      </c>
      <c r="G18" s="103" t="str">
        <f ca="1">IFERROR(IF(ISBLANK(INDEX(FaseFinal!$L$5:$AA$53,MATCH(Equipos!$E18,FaseFinal!$L$5:$L$53,0),Equipos!G$6)),"",INDEX(FaseFinal!$L$5:$AA$53,MATCH(Equipos!$E18,FaseFinal!$L$5:$L$53,0),Equipos!G$6)),"")</f>
        <v>Francia</v>
      </c>
      <c r="H18" s="103">
        <f ca="1">IFERROR(IF(ISBLANK(INDEX(FaseFinal!$L$5:$AA$53,MATCH(Equipos!$E18,FaseFinal!$L$5:$L$53,0),Equipos!H$6)),"",INDEX(FaseFinal!$L$5:$AA$53,MATCH(Equipos!$E18,FaseFinal!$L$5:$L$53,0),Equipos!H$6)),"")</f>
        <v>4</v>
      </c>
      <c r="I18" s="103">
        <f ca="1">IFERROR(IF(ISBLANK(INDEX(FaseFinal!$L$5:$AA$53,MATCH(Equipos!$E18,FaseFinal!$L$5:$L$53,0),Equipos!I$6)),"",INDEX(FaseFinal!$L$5:$AA$53,MATCH(Equipos!$E18,FaseFinal!$L$5:$L$53,0),Equipos!I$6)),"")</f>
        <v>2</v>
      </c>
      <c r="J18" s="103" t="str">
        <f ca="1">IFERROR(IF(ISBLANK(INDEX(FaseFinal!$L$5:$AA$53,MATCH(Equipos!$E18,FaseFinal!$L$5:$L$53,0),Equipos!J$6)),"",INDEX(FaseFinal!$L$5:$AA$53,MATCH(Equipos!$E18,FaseFinal!$L$5:$L$53,0),Equipos!J$6)),"")</f>
        <v>Croacia</v>
      </c>
      <c r="K18" s="103"/>
      <c r="L18" s="103"/>
      <c r="M18" s="103" t="str">
        <f ca="1">IFERROR(IF(ISBLANK(INDEX(FaseFinal!$L$5:$AA$53,MATCH(Equipos!$E18,FaseFinal!$L$5:$L$53,0),Equipos!M$6)),"",INDEX(FaseFinal!$L$5:$AA$53,MATCH(Equipos!$E18,FaseFinal!$L$5:$L$53,0),Equipos!M$6)),"")</f>
        <v>Estadio Olímpico Luzhniki</v>
      </c>
      <c r="N18" s="104">
        <f ca="1">IFERROR(IF(ISBLANK(INDEX(FaseFinal!$L$5:$AA$53,MATCH(Equipos!$E18,FaseFinal!$L$5:$L$53,0),Equipos!N$6)),"",INDEX(FaseFinal!$L$5:$AA$53,MATCH(Equipos!$E18,FaseFinal!$L$5:$L$53,0),Equipos!N$6)),"")</f>
        <v>43296.708333333336</v>
      </c>
      <c r="O18" s="41">
        <f t="shared" ca="1" si="0"/>
        <v>5.0761421319796957E-4</v>
      </c>
      <c r="P18" s="41">
        <f ca="1">IF(O18&lt;0,"",COUNTIF($O$7:O18,O18)+5*ROW())</f>
        <v>97</v>
      </c>
      <c r="Q18" s="41">
        <f t="shared" ca="1" si="1"/>
        <v>1</v>
      </c>
    </row>
    <row r="19" spans="1:17" x14ac:dyDescent="0.25">
      <c r="A19" s="42">
        <v>4</v>
      </c>
      <c r="B19" s="159" t="str">
        <f ca="1">INDEX(paises_cnf,MATCH($G$5,paises_nombres,0),A19) &amp; IF(INDEX(paises_cnf,MATCH($G$5,paises_nombres,0),A19) &lt;&gt; 0, " (" &amp; INDEX(paises_cnf,MATCH($G$5,paises_nombres,0),A19+1) &amp; ")", "")</f>
        <v>1 (1998)</v>
      </c>
      <c r="C19" s="160"/>
      <c r="D19" s="161"/>
    </row>
    <row r="20" spans="1:17" x14ac:dyDescent="0.25">
      <c r="B20" s="150" t="str">
        <f ca="1">Traduccion!B35 &amp; ":"</f>
        <v>Mejor Posición:</v>
      </c>
      <c r="C20" s="151"/>
      <c r="D20" s="158"/>
      <c r="G20" s="106">
        <f ca="1">OFFSET(ConfigPaises!H2,MATCH(Equipos!$G$5,ConfigPaises!A2:A33,0)-1,0,1,1)</f>
        <v>0</v>
      </c>
    </row>
    <row r="21" spans="1:17" x14ac:dyDescent="0.25">
      <c r="A21" s="42">
        <v>6</v>
      </c>
      <c r="B21" s="159" t="str">
        <f ca="1">INDEX(paises_cnf,MATCH($G$5,paises_nombres,0),A21) &amp; IF(INDEX(paises_cnf,MATCH($G$5,paises_nombres,0),A21) &lt;&gt; 0, " (" &amp; INDEX(paises_cnf,MATCH($G$5,paises_nombres,0),A21+1) &amp; ")", "")</f>
        <v>1 (1998)</v>
      </c>
      <c r="C21" s="160"/>
      <c r="D21" s="161"/>
    </row>
    <row r="22" spans="1:17" x14ac:dyDescent="0.25"/>
    <row r="23" spans="1:17" hidden="1" x14ac:dyDescent="0.25"/>
    <row r="24" spans="1:17" hidden="1" x14ac:dyDescent="0.25"/>
    <row r="25" spans="1:17" hidden="1" x14ac:dyDescent="0.25"/>
    <row r="26" spans="1:17" hidden="1" x14ac:dyDescent="0.25"/>
    <row r="27" spans="1:17" hidden="1" x14ac:dyDescent="0.25"/>
    <row r="28" spans="1:17" hidden="1" x14ac:dyDescent="0.25"/>
    <row r="29" spans="1:17" hidden="1" x14ac:dyDescent="0.25"/>
  </sheetData>
  <sheetProtection sheet="1" objects="1" scenarios="1"/>
  <mergeCells count="16">
    <mergeCell ref="B18:D18"/>
    <mergeCell ref="B19:D19"/>
    <mergeCell ref="B20:D20"/>
    <mergeCell ref="B21:D21"/>
    <mergeCell ref="G15:J15"/>
    <mergeCell ref="G17:J17"/>
    <mergeCell ref="L5:N5"/>
    <mergeCell ref="G5:J5"/>
    <mergeCell ref="G7:J7"/>
    <mergeCell ref="G11:J11"/>
    <mergeCell ref="G13:J13"/>
    <mergeCell ref="B13:D13"/>
    <mergeCell ref="B14:D14"/>
    <mergeCell ref="B5:D11"/>
    <mergeCell ref="B16:D16"/>
    <mergeCell ref="B17:D17"/>
  </mergeCells>
  <conditionalFormatting sqref="M8:N8">
    <cfRule type="expression" dxfId="53" priority="58">
      <formula>IF($S8&lt;&gt;"",TRUE,FALSE)</formula>
    </cfRule>
  </conditionalFormatting>
  <conditionalFormatting sqref="M9:N10">
    <cfRule type="expression" dxfId="52" priority="57">
      <formula>IF($S9&lt;&gt;"",TRUE,FALSE)</formula>
    </cfRule>
  </conditionalFormatting>
  <conditionalFormatting sqref="G7:H7 B13 B18:D18 B20:D20 B16:D16">
    <cfRule type="expression" dxfId="51" priority="54">
      <formula>IF(ISBLANK(E8),FALSE,TRUE)</formula>
    </cfRule>
  </conditionalFormatting>
  <conditionalFormatting sqref="G11:H11 G13:J13 G15:J15">
    <cfRule type="expression" dxfId="50" priority="53">
      <formula>IF(J12="",FALSE,TRUE)</formula>
    </cfRule>
  </conditionalFormatting>
  <conditionalFormatting sqref="G12:J12 J14 J16">
    <cfRule type="expression" dxfId="49" priority="45">
      <formula>IF($J12="",FALSE,TRUE)</formula>
    </cfRule>
  </conditionalFormatting>
  <conditionalFormatting sqref="G14">
    <cfRule type="expression" dxfId="48" priority="44">
      <formula>IF($J14="",FALSE,TRUE)</formula>
    </cfRule>
  </conditionalFormatting>
  <conditionalFormatting sqref="G16">
    <cfRule type="expression" dxfId="47" priority="43">
      <formula>IF($J16="",FALSE,TRUE)</formula>
    </cfRule>
  </conditionalFormatting>
  <conditionalFormatting sqref="N12">
    <cfRule type="expression" dxfId="46" priority="39">
      <formula>IF($J12="",FALSE,TRUE)</formula>
    </cfRule>
  </conditionalFormatting>
  <conditionalFormatting sqref="M12">
    <cfRule type="expression" dxfId="45" priority="38">
      <formula>IF($J12="",FALSE,TRUE)</formula>
    </cfRule>
  </conditionalFormatting>
  <conditionalFormatting sqref="M13:N13">
    <cfRule type="expression" dxfId="44" priority="35">
      <formula>IF($J14="",FALSE,TRUE)</formula>
    </cfRule>
  </conditionalFormatting>
  <conditionalFormatting sqref="M17:N17">
    <cfRule type="expression" dxfId="43" priority="33">
      <formula>IF(AND($G18="",$J18=""),FALSE,TRUE)</formula>
    </cfRule>
  </conditionalFormatting>
  <conditionalFormatting sqref="N14">
    <cfRule type="expression" dxfId="42" priority="32">
      <formula>IF($J14="",FALSE,TRUE)</formula>
    </cfRule>
  </conditionalFormatting>
  <conditionalFormatting sqref="M14">
    <cfRule type="expression" dxfId="41" priority="31">
      <formula>IF($J14="",FALSE,TRUE)</formula>
    </cfRule>
  </conditionalFormatting>
  <conditionalFormatting sqref="N16">
    <cfRule type="expression" dxfId="40" priority="30">
      <formula>IF($J16="",FALSE,TRUE)</formula>
    </cfRule>
  </conditionalFormatting>
  <conditionalFormatting sqref="M16">
    <cfRule type="expression" dxfId="39" priority="29">
      <formula>IF($J16="",FALSE,TRUE)</formula>
    </cfRule>
  </conditionalFormatting>
  <conditionalFormatting sqref="N18">
    <cfRule type="expression" dxfId="38" priority="28">
      <formula>IF(AND($G18="",$J18=""),FALSE,TRUE)</formula>
    </cfRule>
  </conditionalFormatting>
  <conditionalFormatting sqref="M18">
    <cfRule type="expression" dxfId="37" priority="27">
      <formula>IF(AND($G18="",$J18=""),FALSE,TRUE)</formula>
    </cfRule>
  </conditionalFormatting>
  <conditionalFormatting sqref="H12">
    <cfRule type="expression" dxfId="36" priority="26">
      <formula>IF(AND($G12&lt;&gt;"",$H12=""),TRUE,FALSE)</formula>
    </cfRule>
  </conditionalFormatting>
  <conditionalFormatting sqref="I12">
    <cfRule type="expression" dxfId="35" priority="25">
      <formula>IF(AND($G12&lt;&gt;"",$H12=""),TRUE,FALSE)</formula>
    </cfRule>
  </conditionalFormatting>
  <conditionalFormatting sqref="H8:I10">
    <cfRule type="expression" dxfId="34" priority="24">
      <formula>IF($J8="",FALSE,TRUE)</formula>
    </cfRule>
  </conditionalFormatting>
  <conditionalFormatting sqref="H8:H10">
    <cfRule type="expression" dxfId="33" priority="23">
      <formula>IF(AND($G8&lt;&gt;"",$H8=""),TRUE,FALSE)</formula>
    </cfRule>
  </conditionalFormatting>
  <conditionalFormatting sqref="I8:I10">
    <cfRule type="expression" dxfId="32" priority="22">
      <formula>IF(AND($G8&lt;&gt;"",$H8=""),TRUE,FALSE)</formula>
    </cfRule>
  </conditionalFormatting>
  <conditionalFormatting sqref="H14:I14">
    <cfRule type="expression" dxfId="31" priority="21">
      <formula>IF($J14="",FALSE,TRUE)</formula>
    </cfRule>
  </conditionalFormatting>
  <conditionalFormatting sqref="H14">
    <cfRule type="expression" dxfId="30" priority="20">
      <formula>IF(AND($G14&lt;&gt;"",$H14=""),TRUE,FALSE)</formula>
    </cfRule>
  </conditionalFormatting>
  <conditionalFormatting sqref="I14">
    <cfRule type="expression" dxfId="29" priority="19">
      <formula>IF(AND($G14&lt;&gt;"",$H14=""),TRUE,FALSE)</formula>
    </cfRule>
  </conditionalFormatting>
  <conditionalFormatting sqref="H16:I16">
    <cfRule type="expression" dxfId="28" priority="18">
      <formula>IF($J16="",FALSE,TRUE)</formula>
    </cfRule>
  </conditionalFormatting>
  <conditionalFormatting sqref="H16">
    <cfRule type="expression" dxfId="27" priority="17">
      <formula>IF(AND($G16&lt;&gt;"",$H16=""),TRUE,FALSE)</formula>
    </cfRule>
  </conditionalFormatting>
  <conditionalFormatting sqref="I16">
    <cfRule type="expression" dxfId="26" priority="16">
      <formula>IF(AND($G16&lt;&gt;"",$H16=""),TRUE,FALSE)</formula>
    </cfRule>
  </conditionalFormatting>
  <conditionalFormatting sqref="I7:J7">
    <cfRule type="expression" dxfId="25" priority="103">
      <formula>IF(ISBLANK(L8),FALSE,TRUE)</formula>
    </cfRule>
  </conditionalFormatting>
  <conditionalFormatting sqref="I11:J11">
    <cfRule type="expression" dxfId="24" priority="105">
      <formula>IF(L12="",FALSE,TRUE)</formula>
    </cfRule>
  </conditionalFormatting>
  <conditionalFormatting sqref="C13:D13">
    <cfRule type="expression" dxfId="23" priority="110">
      <formula>IF(ISBLANK(F14),FALSE,TRUE)</formula>
    </cfRule>
  </conditionalFormatting>
  <conditionalFormatting sqref="G17:J17">
    <cfRule type="expression" dxfId="22" priority="8">
      <formula>IF(G18="",FALSE,TRUE)</formula>
    </cfRule>
  </conditionalFormatting>
  <conditionalFormatting sqref="J18">
    <cfRule type="expression" dxfId="21" priority="7">
      <formula>IF(AND($G18="",$J18=""),FALSE,TRUE)</formula>
    </cfRule>
  </conditionalFormatting>
  <conditionalFormatting sqref="G18">
    <cfRule type="expression" dxfId="20" priority="6">
      <formula>IF(AND($G18="",$J18=""),FALSE,TRUE)</formula>
    </cfRule>
  </conditionalFormatting>
  <conditionalFormatting sqref="H18:I18">
    <cfRule type="expression" dxfId="19" priority="5">
      <formula>IF(AND($G18="",$J18=""),FALSE,TRUE)</formula>
    </cfRule>
  </conditionalFormatting>
  <conditionalFormatting sqref="H18">
    <cfRule type="expression" dxfId="18" priority="4">
      <formula>IF(AND($G18&lt;&gt;"",$H18=""),TRUE,FALSE)</formula>
    </cfRule>
  </conditionalFormatting>
  <conditionalFormatting sqref="I18">
    <cfRule type="expression" dxfId="17" priority="3">
      <formula>IF(AND($G18&lt;&gt;"",$H18=""),TRUE,FALSE)</formula>
    </cfRule>
  </conditionalFormatting>
  <conditionalFormatting sqref="M15:N15">
    <cfRule type="expression" dxfId="16" priority="2">
      <formula>IF(AND($G16="",$J16=""),FALSE,TRUE)</formula>
    </cfRule>
  </conditionalFormatting>
  <conditionalFormatting sqref="M11:N11">
    <cfRule type="expression" dxfId="15" priority="1">
      <formula>IF($J12="",FALSE,TRUE)</formula>
    </cfRule>
  </conditionalFormatting>
  <pageMargins left="0.7" right="0.7" top="0.75" bottom="0.75" header="0.3" footer="0.3"/>
  <pageSetup paperSize="9" orientation="portrait" horizontalDpi="0" verticalDpi="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Config!$E$2:$E$33</xm:f>
          </x14:formula1>
          <xm:sqref>G5:K5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T29"/>
  <sheetViews>
    <sheetView showGridLines="0" showRowColHeaders="0" topLeftCell="E1" workbookViewId="0">
      <selection activeCell="M17" sqref="M17"/>
    </sheetView>
  </sheetViews>
  <sheetFormatPr baseColWidth="10" defaultColWidth="0" defaultRowHeight="15.75" zeroHeight="1" x14ac:dyDescent="0.25"/>
  <cols>
    <col min="1" max="2" width="0" style="7" hidden="1" customWidth="1"/>
    <col min="3" max="4" width="11.42578125" style="7" hidden="1" customWidth="1"/>
    <col min="5" max="5" width="3.28515625" style="7" customWidth="1"/>
    <col min="6" max="6" width="24.7109375" style="7" customWidth="1"/>
    <col min="7" max="7" width="14.42578125" style="7" customWidth="1"/>
    <col min="8" max="9" width="3.28515625" style="7" customWidth="1"/>
    <col min="10" max="10" width="14.42578125" style="7" customWidth="1"/>
    <col min="11" max="11" width="3.5703125" style="7" customWidth="1"/>
    <col min="12" max="12" width="17.7109375" style="7" customWidth="1"/>
    <col min="13" max="13" width="22.28515625" style="7" bestFit="1" customWidth="1"/>
    <col min="14" max="16" width="22.28515625" style="7" hidden="1" customWidth="1"/>
    <col min="17" max="17" width="28.5703125" style="7" customWidth="1"/>
    <col min="18" max="18" width="3.5703125" style="7" hidden="1" customWidth="1"/>
    <col min="19" max="19" width="24.85546875" style="7" hidden="1" customWidth="1"/>
    <col min="20" max="20" width="17.7109375" style="7" hidden="1" customWidth="1"/>
    <col min="21" max="16384" width="11.42578125" style="7" hidden="1"/>
  </cols>
  <sheetData>
    <row r="1" spans="1:20" ht="109.5" customHeight="1" x14ac:dyDescent="0.25"/>
    <row r="2" spans="1:20" ht="7.5" customHeight="1" x14ac:dyDescent="0.25">
      <c r="F2" s="41"/>
      <c r="G2" s="42">
        <v>3</v>
      </c>
      <c r="H2" s="42"/>
      <c r="I2" s="42"/>
      <c r="J2" s="42"/>
      <c r="K2" s="42"/>
      <c r="L2" s="42">
        <v>1</v>
      </c>
      <c r="M2" s="42">
        <v>2</v>
      </c>
      <c r="N2" s="42"/>
      <c r="O2" s="42"/>
      <c r="P2" s="42"/>
      <c r="Q2" s="41"/>
    </row>
    <row r="3" spans="1:20" ht="23.25" x14ac:dyDescent="0.35">
      <c r="A3" s="7">
        <f>MAX(FaseGrupos!$M$6:$M$53)</f>
        <v>4</v>
      </c>
      <c r="F3" s="41"/>
      <c r="G3" s="163" t="s">
        <v>144</v>
      </c>
      <c r="H3" s="164"/>
      <c r="I3" s="164"/>
      <c r="J3" s="164"/>
      <c r="K3" s="164"/>
      <c r="L3" s="164"/>
      <c r="M3" s="165"/>
      <c r="N3" s="43"/>
      <c r="O3" s="43"/>
      <c r="P3" s="43"/>
      <c r="Q3" s="41"/>
      <c r="R3" s="167"/>
      <c r="S3" s="167"/>
      <c r="T3" s="167"/>
    </row>
    <row r="4" spans="1:20" ht="5.25" customHeight="1" x14ac:dyDescent="0.35">
      <c r="F4" s="41"/>
      <c r="G4" s="43"/>
      <c r="H4" s="43"/>
      <c r="I4" s="43"/>
      <c r="J4" s="43"/>
      <c r="K4" s="43"/>
      <c r="L4" s="43"/>
      <c r="M4" s="43"/>
      <c r="N4" s="43"/>
      <c r="O4" s="43"/>
      <c r="P4" s="43"/>
      <c r="Q4" s="41"/>
      <c r="R4" s="17"/>
      <c r="S4" s="17"/>
      <c r="T4" s="17"/>
    </row>
    <row r="5" spans="1:20" ht="21" x14ac:dyDescent="0.25">
      <c r="A5" s="7">
        <f ca="1">MAX(FaseFinal!$M$6:$M$53)</f>
        <v>3</v>
      </c>
      <c r="F5" s="41"/>
      <c r="G5" s="168" t="str">
        <f ca="1">TEXT(INDEX(ConfigEstadios!$B$2:$D$13,MATCH(Sedes!$G$3,estadios,0),Sedes!G2),"## ##0") &amp; " " &amp; Traduccion!B62</f>
        <v>69 500 espectadores</v>
      </c>
      <c r="H5" s="168"/>
      <c r="I5" s="168"/>
      <c r="J5" s="168"/>
      <c r="K5" s="168"/>
      <c r="L5" s="44">
        <f>INDEX(ConfigEstadios!$B$2:$D$13,MATCH(Sedes!$G$3,estadios,0),Sedes!L2)</f>
        <v>2007</v>
      </c>
      <c r="M5" s="44" t="str">
        <f>INDEX(ConfigEstadios!$B$2:$D$13,MATCH(Sedes!$G$3,estadios,0),Sedes!M2)</f>
        <v>San Petesburgo</v>
      </c>
      <c r="N5" s="45"/>
      <c r="O5" s="45"/>
      <c r="P5" s="45"/>
      <c r="Q5" s="41"/>
      <c r="R5" s="9"/>
      <c r="S5" s="9"/>
      <c r="T5" s="9"/>
    </row>
    <row r="6" spans="1:20" ht="15.75" customHeight="1" x14ac:dyDescent="0.25">
      <c r="F6" s="41"/>
      <c r="G6" s="169" t="str">
        <f ca="1" xml:space="preserve"> "(" &amp; Traduccion!B58 &amp; " " &amp; Traduccion!B61 &amp; ")"</f>
        <v>(Clic sobre el nombre para cambiar de sede)</v>
      </c>
      <c r="H6" s="169"/>
      <c r="I6" s="169"/>
      <c r="J6" s="169"/>
      <c r="K6" s="169"/>
      <c r="L6" s="169"/>
      <c r="M6" s="169"/>
      <c r="N6" s="46"/>
      <c r="O6" s="46"/>
      <c r="P6" s="46"/>
      <c r="Q6" s="41"/>
      <c r="R6" s="20"/>
      <c r="S6" s="20"/>
      <c r="T6" s="20"/>
    </row>
    <row r="7" spans="1:20" ht="15.75" customHeight="1" x14ac:dyDescent="0.25">
      <c r="F7" s="41"/>
      <c r="G7" s="47" t="str">
        <f>INDEX(ConfigEstadios!F2:F13,MATCH(Sedes!G3,estadios,0))</f>
        <v>ConfigEstadios!$E$4</v>
      </c>
      <c r="H7" s="48"/>
      <c r="I7" s="48"/>
      <c r="J7" s="48"/>
      <c r="K7" s="48"/>
      <c r="L7" s="45"/>
      <c r="M7" s="45"/>
      <c r="N7" s="45"/>
      <c r="O7" s="45"/>
      <c r="P7" s="45"/>
      <c r="Q7" s="41"/>
      <c r="R7" s="20"/>
      <c r="S7" s="20"/>
      <c r="T7" s="20"/>
    </row>
    <row r="8" spans="1:20" ht="21" customHeight="1" x14ac:dyDescent="0.25">
      <c r="F8" s="41"/>
      <c r="G8" s="157"/>
      <c r="H8" s="157"/>
      <c r="I8" s="157"/>
      <c r="J8" s="157"/>
      <c r="K8" s="157"/>
      <c r="L8" s="157"/>
      <c r="M8" s="157"/>
      <c r="N8" s="49"/>
      <c r="O8" s="49"/>
      <c r="P8" s="49"/>
      <c r="Q8" s="41"/>
    </row>
    <row r="9" spans="1:20" x14ac:dyDescent="0.25">
      <c r="F9" s="41"/>
      <c r="G9" s="157"/>
      <c r="H9" s="157"/>
      <c r="I9" s="157"/>
      <c r="J9" s="157"/>
      <c r="K9" s="157"/>
      <c r="L9" s="157"/>
      <c r="M9" s="157"/>
      <c r="N9" s="49"/>
      <c r="O9" s="49"/>
      <c r="P9" s="49"/>
      <c r="Q9" s="41"/>
    </row>
    <row r="10" spans="1:20" x14ac:dyDescent="0.25">
      <c r="F10" s="41"/>
      <c r="G10" s="157"/>
      <c r="H10" s="157"/>
      <c r="I10" s="157"/>
      <c r="J10" s="157"/>
      <c r="K10" s="157"/>
      <c r="L10" s="157"/>
      <c r="M10" s="157"/>
      <c r="N10" s="49"/>
      <c r="O10" s="49"/>
      <c r="P10" s="49"/>
      <c r="Q10" s="41"/>
    </row>
    <row r="11" spans="1:20" x14ac:dyDescent="0.25">
      <c r="F11" s="41"/>
      <c r="G11" s="157"/>
      <c r="H11" s="157"/>
      <c r="I11" s="157"/>
      <c r="J11" s="157"/>
      <c r="K11" s="157"/>
      <c r="L11" s="157"/>
      <c r="M11" s="157"/>
      <c r="N11" s="49"/>
      <c r="O11" s="49"/>
      <c r="P11" s="49"/>
      <c r="Q11" s="41"/>
    </row>
    <row r="12" spans="1:20" x14ac:dyDescent="0.25">
      <c r="F12" s="41"/>
      <c r="G12" s="157"/>
      <c r="H12" s="157"/>
      <c r="I12" s="157"/>
      <c r="J12" s="157"/>
      <c r="K12" s="157"/>
      <c r="L12" s="157"/>
      <c r="M12" s="157"/>
      <c r="N12" s="49"/>
      <c r="O12" s="49"/>
      <c r="P12" s="49"/>
      <c r="Q12" s="41"/>
    </row>
    <row r="13" spans="1:20" ht="142.5" customHeight="1" x14ac:dyDescent="0.25">
      <c r="F13" s="41"/>
      <c r="G13" s="157"/>
      <c r="H13" s="157"/>
      <c r="I13" s="157"/>
      <c r="J13" s="157"/>
      <c r="K13" s="157"/>
      <c r="L13" s="157"/>
      <c r="M13" s="157"/>
      <c r="N13" s="49"/>
      <c r="O13" s="49"/>
      <c r="P13" s="49"/>
      <c r="Q13" s="50"/>
    </row>
    <row r="14" spans="1:20" ht="11.25" customHeight="1" x14ac:dyDescent="0.25">
      <c r="B14" s="7">
        <v>1</v>
      </c>
      <c r="F14" s="41"/>
      <c r="G14" s="42">
        <v>16</v>
      </c>
      <c r="H14" s="42">
        <v>17</v>
      </c>
      <c r="I14" s="42">
        <v>18</v>
      </c>
      <c r="J14" s="42">
        <v>19</v>
      </c>
      <c r="K14" s="42"/>
      <c r="L14" s="42">
        <v>27</v>
      </c>
      <c r="M14" s="42"/>
      <c r="N14" s="42"/>
      <c r="O14" s="42"/>
      <c r="P14" s="42"/>
      <c r="Q14" s="41"/>
    </row>
    <row r="15" spans="1:20" x14ac:dyDescent="0.25">
      <c r="F15" s="41"/>
      <c r="G15" s="131" t="str">
        <f ca="1">Traduccion!B13</f>
        <v>Partido</v>
      </c>
      <c r="H15" s="131"/>
      <c r="I15" s="131"/>
      <c r="J15" s="131"/>
      <c r="K15" s="41"/>
      <c r="L15" s="52" t="str">
        <f ca="1">Traduccion!B15</f>
        <v>Horario</v>
      </c>
      <c r="M15" s="52" t="str">
        <f ca="1">Traduccion!B16</f>
        <v>Ronda</v>
      </c>
      <c r="N15" s="49"/>
      <c r="O15" s="49"/>
      <c r="P15" s="49"/>
      <c r="Q15" s="41"/>
    </row>
    <row r="16" spans="1:20" x14ac:dyDescent="0.25">
      <c r="A16" s="7" t="str">
        <f t="shared" ref="A16:A22" si="0">IF((ROW()-ROW($A$15))&lt;=$A$3,"G",IF((ROW()-ROW($A$15))&lt;=$A$3+$A$5,"F",""))</f>
        <v>G</v>
      </c>
      <c r="B16" s="7" t="str">
        <f ca="1">INDEX(INDIRECT(C16),MATCH(E16,INDIRECT(D16),0),B$14)</f>
        <v>G</v>
      </c>
      <c r="C16" s="7" t="str">
        <f>LOOKUP($A16,ConfigEstadios!$H$1:$H$2,ConfigEstadios!$I$1:$I$2)</f>
        <v>estadios_grupos</v>
      </c>
      <c r="D16" s="7" t="str">
        <f>LOOKUP($A16,ConfigEstadios!$H$1:$H$2,ConfigEstadios!$J$1:$J$2)</f>
        <v>estadios_grupos_cnf</v>
      </c>
      <c r="E16" s="8">
        <f>COUNTIF(A$16:A16,A16)</f>
        <v>1</v>
      </c>
      <c r="F16" s="42"/>
      <c r="G16" s="19" t="str">
        <f ca="1">IFERROR(IF(ISBLANK(INDEX(INDIRECT($C16),MATCH(Sedes!$E16,INDIRECT($D16),0),Sedes!G$14)),"",INDEX(INDIRECT($C16),MATCH(Sedes!$E16,INDIRECT($D16),0),Sedes!G$14)),"")</f>
        <v>Marruecos</v>
      </c>
      <c r="H16" s="19">
        <f ca="1">IFERROR(IF(ISBLANK(INDEX(INDIRECT($C16),MATCH(Sedes!$E16,INDIRECT($D16),0),Sedes!H$14)),"",INDEX(INDIRECT($C16),MATCH(Sedes!$E16,INDIRECT($D16),0),Sedes!H$14)),"")</f>
        <v>0</v>
      </c>
      <c r="I16" s="19">
        <f ca="1">IFERROR(IF(ISBLANK(INDEX(INDIRECT($C16),MATCH(Sedes!$E16,INDIRECT($D16),0),Sedes!I$14)),"",INDEX(INDIRECT($C16),MATCH(Sedes!$E16,INDIRECT($D16),0),Sedes!I$14)),"")</f>
        <v>1</v>
      </c>
      <c r="J16" s="19" t="str">
        <f ca="1">IFERROR(IF(ISBLANK(INDEX(INDIRECT($C16),MATCH(Sedes!$E16,INDIRECT($D16),0),Sedes!J$14)),"",INDEX(INDIRECT($C16),MATCH(Sedes!$E16,INDIRECT($D16),0),Sedes!J$14)),"")</f>
        <v>Irán</v>
      </c>
      <c r="K16" s="41"/>
      <c r="L16" s="53">
        <f ca="1">IFERROR(IF(ISBLANK(INDEX(INDIRECT($C16),MATCH(Sedes!$E16,INDIRECT($D16),0),Sedes!L$14)),"",INDEX(INDIRECT($C16),MATCH(Sedes!$E16,INDIRECT($D16),0),Sedes!L$14)),"")</f>
        <v>43266.708333333336</v>
      </c>
      <c r="M16" s="53" t="str">
        <f ca="1">IFERROR(INDEX(Config!$AB$2:$AB$11,MATCH(Sedes!B16,config_abreviaturas,0)),"")</f>
        <v>Fase de Grupos</v>
      </c>
      <c r="N16" s="49">
        <f ca="1">IF(OR(L16=$L$15,L16=""),-100*ROW(),IF(NOW()&gt;=L16,1/1/1970,L16))</f>
        <v>5.0761421319796957E-4</v>
      </c>
      <c r="O16" s="49">
        <f ca="1">IF(N16&lt;0,"",COUNTIF($N$16:N16,N16)+5.1*ROW())</f>
        <v>82.6</v>
      </c>
      <c r="P16" s="49">
        <f ca="1">_xlfn.RANK.EQ(O16,$O$16:$O$22,0)</f>
        <v>7</v>
      </c>
      <c r="Q16" s="41"/>
    </row>
    <row r="17" spans="1:17" x14ac:dyDescent="0.25">
      <c r="A17" s="7" t="str">
        <f t="shared" si="0"/>
        <v>G</v>
      </c>
      <c r="B17" s="7" t="str">
        <f t="shared" ref="B17:B22" ca="1" si="1">INDEX(INDIRECT(C17),MATCH(E17,INDIRECT(D17),0),B$14)</f>
        <v>G</v>
      </c>
      <c r="C17" s="7" t="str">
        <f>LOOKUP($A17,ConfigEstadios!$H$1:$H$2,ConfigEstadios!$I$1:$I$2)</f>
        <v>estadios_grupos</v>
      </c>
      <c r="D17" s="7" t="str">
        <f>LOOKUP($A17,ConfigEstadios!$H$1:$H$2,ConfigEstadios!$J$1:$J$2)</f>
        <v>estadios_grupos_cnf</v>
      </c>
      <c r="E17" s="8">
        <f>COUNTIF(A$16:A17,A17)</f>
        <v>2</v>
      </c>
      <c r="F17" s="42"/>
      <c r="G17" s="19" t="str">
        <f ca="1">IFERROR(IF(ISBLANK(INDEX(INDIRECT($C17),MATCH(Sedes!$E17,INDIRECT($D17),0),Sedes!G$14)),"",INDEX(INDIRECT($C17),MATCH(Sedes!$E17,INDIRECT($D17),0),Sedes!G$14)),"")</f>
        <v>Egipto</v>
      </c>
      <c r="H17" s="19">
        <f ca="1">IFERROR(IF(ISBLANK(INDEX(INDIRECT($C17),MATCH(Sedes!$E17,INDIRECT($D17),0),Sedes!H$14)),"",INDEX(INDIRECT($C17),MATCH(Sedes!$E17,INDIRECT($D17),0),Sedes!H$14)),"")</f>
        <v>1</v>
      </c>
      <c r="I17" s="19">
        <f ca="1">IFERROR(IF(ISBLANK(INDEX(INDIRECT($C17),MATCH(Sedes!$E17,INDIRECT($D17),0),Sedes!I$14)),"",INDEX(INDIRECT($C17),MATCH(Sedes!$E17,INDIRECT($D17),0),Sedes!I$14)),"")</f>
        <v>3</v>
      </c>
      <c r="J17" s="19" t="str">
        <f ca="1">IFERROR(IF(ISBLANK(INDEX(INDIRECT($C17),MATCH(Sedes!$E17,INDIRECT($D17),0),Sedes!J$14)),"",INDEX(INDIRECT($C17),MATCH(Sedes!$E17,INDIRECT($D17),0),Sedes!J$14)),"")</f>
        <v>Rusia</v>
      </c>
      <c r="K17" s="41"/>
      <c r="L17" s="53">
        <f ca="1">IFERROR(IF(ISBLANK(INDEX(INDIRECT($C17),MATCH(Sedes!$E17,INDIRECT($D17),0),Sedes!L$14)),"",INDEX(INDIRECT($C17),MATCH(Sedes!$E17,INDIRECT($D17),0),Sedes!L$14)),"")</f>
        <v>43270.833333333336</v>
      </c>
      <c r="M17" s="53" t="str">
        <f ca="1">IFERROR(INDEX(Config!$AB$2:$AB$11,MATCH(Sedes!B17,config_abreviaturas,0)),"")</f>
        <v>Fase de Grupos</v>
      </c>
      <c r="N17" s="49">
        <f t="shared" ref="N17:N22" ca="1" si="2">IF(OR(L17=$L$15,L17=""),-100*ROW(),IF(NOW()&gt;=L17,1/1/1970,L17))</f>
        <v>5.0761421319796957E-4</v>
      </c>
      <c r="O17" s="49">
        <f ca="1">IF(N17&lt;0,"",COUNTIF($N$16:N17,N17)+5.1*ROW())</f>
        <v>88.699999999999989</v>
      </c>
      <c r="P17" s="49">
        <f t="shared" ref="P17:P22" ca="1" si="3">_xlfn.RANK.EQ(O17,$O$16:$O$22,0)</f>
        <v>6</v>
      </c>
      <c r="Q17" s="41"/>
    </row>
    <row r="18" spans="1:17" x14ac:dyDescent="0.25">
      <c r="A18" s="7" t="str">
        <f t="shared" si="0"/>
        <v>G</v>
      </c>
      <c r="B18" s="7" t="str">
        <f t="shared" ca="1" si="1"/>
        <v>G</v>
      </c>
      <c r="C18" s="7" t="str">
        <f>LOOKUP($A18,ConfigEstadios!$H$1:$H$2,ConfigEstadios!$I$1:$I$2)</f>
        <v>estadios_grupos</v>
      </c>
      <c r="D18" s="7" t="str">
        <f>LOOKUP($A18,ConfigEstadios!$H$1:$H$2,ConfigEstadios!$J$1:$J$2)</f>
        <v>estadios_grupos_cnf</v>
      </c>
      <c r="E18" s="8">
        <f>COUNTIF(A$16:A18,A18)</f>
        <v>3</v>
      </c>
      <c r="F18" s="42"/>
      <c r="G18" s="19" t="str">
        <f ca="1">IFERROR(IF(ISBLANK(INDEX(INDIRECT($C18),MATCH(Sedes!$E18,INDIRECT($D18),0),Sedes!G$14)),"",INDEX(INDIRECT($C18),MATCH(Sedes!$E18,INDIRECT($D18),0),Sedes!G$14)),"")</f>
        <v>Serbia</v>
      </c>
      <c r="H18" s="19">
        <f ca="1">IFERROR(IF(ISBLANK(INDEX(INDIRECT($C18),MATCH(Sedes!$E18,INDIRECT($D18),0),Sedes!H$14)),"",INDEX(INDIRECT($C18),MATCH(Sedes!$E18,INDIRECT($D18),0),Sedes!H$14)),"")</f>
        <v>1</v>
      </c>
      <c r="I18" s="19">
        <f ca="1">IFERROR(IF(ISBLANK(INDEX(INDIRECT($C18),MATCH(Sedes!$E18,INDIRECT($D18),0),Sedes!I$14)),"",INDEX(INDIRECT($C18),MATCH(Sedes!$E18,INDIRECT($D18),0),Sedes!I$14)),"")</f>
        <v>2</v>
      </c>
      <c r="J18" s="19" t="str">
        <f ca="1">IFERROR(IF(ISBLANK(INDEX(INDIRECT($C18),MATCH(Sedes!$E18,INDIRECT($D18),0),Sedes!J$14)),"",INDEX(INDIRECT($C18),MATCH(Sedes!$E18,INDIRECT($D18),0),Sedes!J$14)),"")</f>
        <v>Suiza</v>
      </c>
      <c r="K18" s="41"/>
      <c r="L18" s="53">
        <f ca="1">IFERROR(IF(ISBLANK(INDEX(INDIRECT($C18),MATCH(Sedes!$E18,INDIRECT($D18),0),Sedes!L$14)),"",INDEX(INDIRECT($C18),MATCH(Sedes!$E18,INDIRECT($D18),0),Sedes!L$14)),"")</f>
        <v>43273.791666666664</v>
      </c>
      <c r="M18" s="53" t="str">
        <f ca="1">IFERROR(INDEX(Config!$AB$2:$AB$11,MATCH(Sedes!B18,config_abreviaturas,0)),"")</f>
        <v>Fase de Grupos</v>
      </c>
      <c r="N18" s="49">
        <f t="shared" ca="1" si="2"/>
        <v>5.0761421319796957E-4</v>
      </c>
      <c r="O18" s="49">
        <f ca="1">IF(N18&lt;0,"",COUNTIF($N$16:N18,N18)+5.1*ROW())</f>
        <v>94.8</v>
      </c>
      <c r="P18" s="49">
        <f t="shared" ca="1" si="3"/>
        <v>5</v>
      </c>
      <c r="Q18" s="41"/>
    </row>
    <row r="19" spans="1:17" x14ac:dyDescent="0.25">
      <c r="A19" s="7" t="str">
        <f t="shared" si="0"/>
        <v>G</v>
      </c>
      <c r="B19" s="7" t="str">
        <f t="shared" ca="1" si="1"/>
        <v>G</v>
      </c>
      <c r="C19" s="7" t="str">
        <f>LOOKUP($A19,ConfigEstadios!$H$1:$H$2,ConfigEstadios!$I$1:$I$2)</f>
        <v>estadios_grupos</v>
      </c>
      <c r="D19" s="7" t="str">
        <f>LOOKUP($A19,ConfigEstadios!$H$1:$H$2,ConfigEstadios!$J$1:$J$2)</f>
        <v>estadios_grupos_cnf</v>
      </c>
      <c r="E19" s="8">
        <f>COUNTIF(A$16:A19,A19)</f>
        <v>4</v>
      </c>
      <c r="F19" s="42"/>
      <c r="G19" s="19" t="str">
        <f ca="1">IFERROR(IF(ISBLANK(INDEX(INDIRECT($C19),MATCH(Sedes!$E19,INDIRECT($D19),0),Sedes!G$14)),"",INDEX(INDIRECT($C19),MATCH(Sedes!$E19,INDIRECT($D19),0),Sedes!G$14)),"")</f>
        <v>Nigeria</v>
      </c>
      <c r="H19" s="19">
        <f ca="1">IFERROR(IF(ISBLANK(INDEX(INDIRECT($C19),MATCH(Sedes!$E19,INDIRECT($D19),0),Sedes!H$14)),"",INDEX(INDIRECT($C19),MATCH(Sedes!$E19,INDIRECT($D19),0),Sedes!H$14)),"")</f>
        <v>1</v>
      </c>
      <c r="I19" s="19">
        <f ca="1">IFERROR(IF(ISBLANK(INDEX(INDIRECT($C19),MATCH(Sedes!$E19,INDIRECT($D19),0),Sedes!I$14)),"",INDEX(INDIRECT($C19),MATCH(Sedes!$E19,INDIRECT($D19),0),Sedes!I$14)),"")</f>
        <v>2</v>
      </c>
      <c r="J19" s="19" t="str">
        <f ca="1">IFERROR(IF(ISBLANK(INDEX(INDIRECT($C19),MATCH(Sedes!$E19,INDIRECT($D19),0),Sedes!J$14)),"",INDEX(INDIRECT($C19),MATCH(Sedes!$E19,INDIRECT($D19),0),Sedes!J$14)),"")</f>
        <v>Argentina</v>
      </c>
      <c r="K19" s="41"/>
      <c r="L19" s="53">
        <f ca="1">IFERROR(IF(ISBLANK(INDEX(INDIRECT($C19),MATCH(Sedes!$E19,INDIRECT($D19),0),Sedes!L$14)),"",INDEX(INDIRECT($C19),MATCH(Sedes!$E19,INDIRECT($D19),0),Sedes!L$14)),"")</f>
        <v>43277.833333333336</v>
      </c>
      <c r="M19" s="53" t="str">
        <f ca="1">IFERROR(INDEX(Config!$AB$2:$AB$11,MATCH(Sedes!B19,config_abreviaturas,0)),"")</f>
        <v>Fase de Grupos</v>
      </c>
      <c r="N19" s="49">
        <f t="shared" ca="1" si="2"/>
        <v>5.0761421319796957E-4</v>
      </c>
      <c r="O19" s="49">
        <f ca="1">IF(N19&lt;0,"",COUNTIF($N$16:N19,N19)+5.1*ROW())</f>
        <v>100.89999999999999</v>
      </c>
      <c r="P19" s="49">
        <f t="shared" ca="1" si="3"/>
        <v>4</v>
      </c>
      <c r="Q19" s="41"/>
    </row>
    <row r="20" spans="1:17" x14ac:dyDescent="0.25">
      <c r="A20" s="7" t="str">
        <f t="shared" ca="1" si="0"/>
        <v>F</v>
      </c>
      <c r="B20" s="7" t="str">
        <f t="shared" ca="1" si="1"/>
        <v>O</v>
      </c>
      <c r="C20" s="7" t="str">
        <f ca="1">LOOKUP($A20,ConfigEstadios!$H$1:$H$2,ConfigEstadios!$I$1:$I$2)</f>
        <v>estadios_final</v>
      </c>
      <c r="D20" s="7" t="str">
        <f ca="1">LOOKUP($A20,ConfigEstadios!$H$1:$H$2,ConfigEstadios!$J$1:$J$2)</f>
        <v>estadios_final_cnf</v>
      </c>
      <c r="E20" s="8">
        <f ca="1">COUNTIF(A$16:A20,A20)</f>
        <v>1</v>
      </c>
      <c r="F20" s="42"/>
      <c r="G20" s="19" t="str">
        <f ca="1">IFERROR(IF(ISBLANK(INDEX(INDIRECT($C20),MATCH(Sedes!$E20,INDIRECT($D20),0),Sedes!G$14)),"",INDEX(INDIRECT($C20),MATCH(Sedes!$E20,INDIRECT($D20),0),Sedes!G$14)),"")</f>
        <v>Suecia</v>
      </c>
      <c r="H20" s="19">
        <f ca="1">IFERROR(IF(ISBLANK(INDEX(INDIRECT($C20),MATCH(Sedes!$E20,INDIRECT($D20),0),Sedes!H$14)),"",INDEX(INDIRECT($C20),MATCH(Sedes!$E20,INDIRECT($D20),0),Sedes!H$14)),"")</f>
        <v>1</v>
      </c>
      <c r="I20" s="19">
        <f ca="1">IFERROR(IF(ISBLANK(INDEX(INDIRECT($C20),MATCH(Sedes!$E20,INDIRECT($D20),0),Sedes!I$14)),"",INDEX(INDIRECT($C20),MATCH(Sedes!$E20,INDIRECT($D20),0),Sedes!I$14)),"")</f>
        <v>0</v>
      </c>
      <c r="J20" s="19" t="str">
        <f ca="1">IFERROR(IF(ISBLANK(INDEX(INDIRECT($C20),MATCH(Sedes!$E20,INDIRECT($D20),0),Sedes!J$14)),"",INDEX(INDIRECT($C20),MATCH(Sedes!$E20,INDIRECT($D20),0),Sedes!J$14)),"")</f>
        <v>Suiza</v>
      </c>
      <c r="K20" s="41"/>
      <c r="L20" s="53">
        <f ca="1">IFERROR(IF(ISBLANK(INDEX(INDIRECT($C20),MATCH(Sedes!$E20,INDIRECT($D20),0),Sedes!L$14)),"",INDEX(INDIRECT($C20),MATCH(Sedes!$E20,INDIRECT($D20),0),Sedes!L$14)),"")</f>
        <v>43284.666666666664</v>
      </c>
      <c r="M20" s="53" t="str">
        <f ca="1">IFERROR(INDEX(Config!$AB$2:$AB$11,MATCH(Sedes!B20,config_abreviaturas,0)),"")</f>
        <v>Octavos de final</v>
      </c>
      <c r="N20" s="49">
        <f t="shared" ca="1" si="2"/>
        <v>5.0761421319796957E-4</v>
      </c>
      <c r="O20" s="49">
        <f ca="1">IF(N20&lt;0,"",COUNTIF($N$16:N20,N20)+5.1*ROW())</f>
        <v>107</v>
      </c>
      <c r="P20" s="49">
        <f t="shared" ca="1" si="3"/>
        <v>3</v>
      </c>
      <c r="Q20" s="41"/>
    </row>
    <row r="21" spans="1:17" x14ac:dyDescent="0.25">
      <c r="A21" s="7" t="str">
        <f t="shared" ca="1" si="0"/>
        <v>F</v>
      </c>
      <c r="B21" s="7" t="str">
        <f t="shared" ca="1" si="1"/>
        <v>S</v>
      </c>
      <c r="C21" s="7" t="str">
        <f ca="1">LOOKUP($A21,ConfigEstadios!$H$1:$H$2,ConfigEstadios!$I$1:$I$2)</f>
        <v>estadios_final</v>
      </c>
      <c r="D21" s="7" t="str">
        <f ca="1">LOOKUP($A21,ConfigEstadios!$H$1:$H$2,ConfigEstadios!$J$1:$J$2)</f>
        <v>estadios_final_cnf</v>
      </c>
      <c r="E21" s="8">
        <f ca="1">COUNTIF(A$16:A21,A21)</f>
        <v>2</v>
      </c>
      <c r="F21" s="42"/>
      <c r="G21" s="19" t="str">
        <f ca="1">IFERROR(IF(ISBLANK(INDEX(INDIRECT($C21),MATCH(Sedes!$E21,INDIRECT($D21),0),Sedes!G$14)),"",INDEX(INDIRECT($C21),MATCH(Sedes!$E21,INDIRECT($D21),0),Sedes!G$14)),"")</f>
        <v>Francia</v>
      </c>
      <c r="H21" s="19">
        <f ca="1">IFERROR(IF(ISBLANK(INDEX(INDIRECT($C21),MATCH(Sedes!$E21,INDIRECT($D21),0),Sedes!H$14)),"",INDEX(INDIRECT($C21),MATCH(Sedes!$E21,INDIRECT($D21),0),Sedes!H$14)),"")</f>
        <v>1</v>
      </c>
      <c r="I21" s="19">
        <f ca="1">IFERROR(IF(ISBLANK(INDEX(INDIRECT($C21),MATCH(Sedes!$E21,INDIRECT($D21),0),Sedes!I$14)),"",INDEX(INDIRECT($C21),MATCH(Sedes!$E21,INDIRECT($D21),0),Sedes!I$14)),"")</f>
        <v>0</v>
      </c>
      <c r="J21" s="19" t="str">
        <f ca="1">IFERROR(IF(ISBLANK(INDEX(INDIRECT($C21),MATCH(Sedes!$E21,INDIRECT($D21),0),Sedes!J$14)),"",INDEX(INDIRECT($C21),MATCH(Sedes!$E21,INDIRECT($D21),0),Sedes!J$14)),"")</f>
        <v>Bélgica</v>
      </c>
      <c r="K21" s="41"/>
      <c r="L21" s="53">
        <f ca="1">IFERROR(IF(ISBLANK(INDEX(INDIRECT($C21),MATCH(Sedes!$E21,INDIRECT($D21),0),Sedes!L$14)),"",INDEX(INDIRECT($C21),MATCH(Sedes!$E21,INDIRECT($D21),0),Sedes!L$14)),"")</f>
        <v>43291.833333333336</v>
      </c>
      <c r="M21" s="53" t="str">
        <f ca="1">IFERROR(INDEX(Config!$AB$2:$AB$11,MATCH(Sedes!B21,config_abreviaturas,0)),"")</f>
        <v>Semifinales</v>
      </c>
      <c r="N21" s="49">
        <f t="shared" ca="1" si="2"/>
        <v>5.0761421319796957E-4</v>
      </c>
      <c r="O21" s="49">
        <f ca="1">IF(N21&lt;0,"",COUNTIF($N$16:N21,N21)+5.1*ROW())</f>
        <v>113.1</v>
      </c>
      <c r="P21" s="49">
        <f t="shared" ca="1" si="3"/>
        <v>2</v>
      </c>
      <c r="Q21" s="41"/>
    </row>
    <row r="22" spans="1:17" x14ac:dyDescent="0.25">
      <c r="A22" s="7" t="str">
        <f t="shared" ca="1" si="0"/>
        <v>F</v>
      </c>
      <c r="B22" s="7" t="str">
        <f t="shared" ca="1" si="1"/>
        <v>T</v>
      </c>
      <c r="C22" s="7" t="str">
        <f ca="1">LOOKUP($A22,ConfigEstadios!$H$1:$H$2,ConfigEstadios!$I$1:$I$2)</f>
        <v>estadios_final</v>
      </c>
      <c r="D22" s="7" t="str">
        <f ca="1">LOOKUP($A22,ConfigEstadios!$H$1:$H$2,ConfigEstadios!$J$1:$J$2)</f>
        <v>estadios_final_cnf</v>
      </c>
      <c r="E22" s="8">
        <f ca="1">COUNTIF(A$16:A22,A22)</f>
        <v>3</v>
      </c>
      <c r="F22" s="42"/>
      <c r="G22" s="19" t="str">
        <f ca="1">IFERROR(IF(ISBLANK(INDEX(INDIRECT($C22),MATCH(Sedes!$E22,INDIRECT($D22),0),Sedes!G$14)),"",INDEX(INDIRECT($C22),MATCH(Sedes!$E22,INDIRECT($D22),0),Sedes!G$14)),"")</f>
        <v>Bélgica</v>
      </c>
      <c r="H22" s="19">
        <f ca="1">IFERROR(IF(ISBLANK(INDEX(INDIRECT($C22),MATCH(Sedes!$E22,INDIRECT($D22),0),Sedes!H$14)),"",INDEX(INDIRECT($C22),MATCH(Sedes!$E22,INDIRECT($D22),0),Sedes!H$14)),"")</f>
        <v>2</v>
      </c>
      <c r="I22" s="19">
        <f ca="1">IFERROR(IF(ISBLANK(INDEX(INDIRECT($C22),MATCH(Sedes!$E22,INDIRECT($D22),0),Sedes!I$14)),"",INDEX(INDIRECT($C22),MATCH(Sedes!$E22,INDIRECT($D22),0),Sedes!I$14)),"")</f>
        <v>0</v>
      </c>
      <c r="J22" s="19" t="str">
        <f ca="1">IFERROR(IF(ISBLANK(INDEX(INDIRECT($C22),MATCH(Sedes!$E22,INDIRECT($D22),0),Sedes!J$14)),"",INDEX(INDIRECT($C22),MATCH(Sedes!$E22,INDIRECT($D22),0),Sedes!J$14)),"")</f>
        <v>Inglaterra</v>
      </c>
      <c r="K22" s="41"/>
      <c r="L22" s="53">
        <f ca="1">IFERROR(IF(ISBLANK(INDEX(INDIRECT($C22),MATCH(Sedes!$E22,INDIRECT($D22),0),Sedes!L$14)),"",INDEX(INDIRECT($C22),MATCH(Sedes!$E22,INDIRECT($D22),0),Sedes!L$14)),"")</f>
        <v>43295.666666666664</v>
      </c>
      <c r="M22" s="53" t="str">
        <f ca="1">IFERROR(INDEX(Config!$AB$2:$AB$11,MATCH(Sedes!B22,config_abreviaturas,0)),"")</f>
        <v>Tercer y Cuarto Puesto</v>
      </c>
      <c r="N22" s="49">
        <f t="shared" ca="1" si="2"/>
        <v>5.0761421319796957E-4</v>
      </c>
      <c r="O22" s="49">
        <f ca="1">IF(N22&lt;0,"",COUNTIF($N$16:N22,N22)+5.1*ROW())</f>
        <v>119.19999999999999</v>
      </c>
      <c r="P22" s="49">
        <f t="shared" ca="1" si="3"/>
        <v>1</v>
      </c>
      <c r="Q22" s="41"/>
    </row>
    <row r="23" spans="1:17" x14ac:dyDescent="0.25">
      <c r="G23" s="16"/>
      <c r="H23" s="16"/>
      <c r="I23" s="16"/>
      <c r="J23" s="16"/>
      <c r="L23" s="21"/>
      <c r="M23" s="10"/>
      <c r="N23" s="10"/>
      <c r="O23" s="10"/>
      <c r="P23" s="10"/>
    </row>
    <row r="24" spans="1:17" hidden="1" x14ac:dyDescent="0.25">
      <c r="G24" s="16"/>
      <c r="H24" s="16"/>
      <c r="I24" s="16"/>
      <c r="J24" s="16"/>
      <c r="L24" s="21"/>
      <c r="M24" s="10"/>
      <c r="N24" s="10"/>
      <c r="O24" s="10"/>
      <c r="P24" s="10"/>
    </row>
    <row r="25" spans="1:17" hidden="1" x14ac:dyDescent="0.25">
      <c r="G25" s="16"/>
      <c r="H25" s="16"/>
      <c r="I25" s="16"/>
      <c r="J25" s="16"/>
      <c r="K25" s="16"/>
      <c r="L25" s="21"/>
      <c r="M25" s="10"/>
      <c r="N25" s="10"/>
      <c r="O25" s="10"/>
      <c r="P25" s="10"/>
    </row>
    <row r="26" spans="1:17" hidden="1" x14ac:dyDescent="0.25">
      <c r="G26" s="16"/>
      <c r="H26" s="16"/>
      <c r="I26" s="16"/>
      <c r="J26" s="16"/>
      <c r="K26" s="16"/>
      <c r="L26" s="21"/>
      <c r="M26" s="10"/>
      <c r="N26" s="10"/>
      <c r="O26" s="10"/>
      <c r="P26" s="10"/>
    </row>
    <row r="27" spans="1:17" hidden="1" x14ac:dyDescent="0.25"/>
    <row r="28" spans="1:17" hidden="1" x14ac:dyDescent="0.25"/>
    <row r="29" spans="1:17" hidden="1" x14ac:dyDescent="0.25"/>
  </sheetData>
  <sheetProtection sheet="1" objects="1" scenarios="1"/>
  <mergeCells count="6">
    <mergeCell ref="R3:T3"/>
    <mergeCell ref="G3:M3"/>
    <mergeCell ref="G5:K5"/>
    <mergeCell ref="G15:J15"/>
    <mergeCell ref="G8:M13"/>
    <mergeCell ref="G6:M6"/>
  </mergeCells>
  <conditionalFormatting sqref="G16:G22 J16:J22">
    <cfRule type="expression" dxfId="14" priority="4">
      <formula>IF($M16&lt;&gt;"",TRUE,FALSE)</formula>
    </cfRule>
  </conditionalFormatting>
  <conditionalFormatting sqref="H16:I22">
    <cfRule type="expression" dxfId="13" priority="3">
      <formula>IF(H16&lt;&gt;"",TRUE,FALSE)</formula>
    </cfRule>
  </conditionalFormatting>
  <conditionalFormatting sqref="H16:I22">
    <cfRule type="expression" dxfId="12" priority="2">
      <formula>IF(AND(H16="",$M16&lt;&gt;""),TRUE,FALSE)</formula>
    </cfRule>
  </conditionalFormatting>
  <conditionalFormatting sqref="L16:M22">
    <cfRule type="expression" dxfId="11" priority="1">
      <formula>IF($M16&lt;&gt;"",TRUE,FALSE)</formula>
    </cfRule>
  </conditionalFormatting>
  <dataValidations count="1">
    <dataValidation type="list" allowBlank="1" showInputMessage="1" showErrorMessage="1" sqref="G3:G4">
      <formula1>estadios</formula1>
    </dataValidation>
  </dataValidations>
  <pageMargins left="0.7" right="0.7" top="0.75" bottom="0.75" header="0.3" footer="0.3"/>
  <pageSetup paperSize="9" orientation="portrait" horizontalDpi="0" verticalDpi="0"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AN16"/>
  <sheetViews>
    <sheetView showGridLines="0" showRowColHeaders="0" topLeftCell="O1" workbookViewId="0">
      <selection activeCell="AA6" sqref="AA6"/>
    </sheetView>
  </sheetViews>
  <sheetFormatPr baseColWidth="10" defaultColWidth="0" defaultRowHeight="15.75" zeroHeight="1" x14ac:dyDescent="0.25"/>
  <cols>
    <col min="1" max="1" width="11.42578125" style="92" hidden="1" customWidth="1"/>
    <col min="2" max="14" width="11.42578125" style="41" hidden="1" customWidth="1"/>
    <col min="15" max="15" width="3.28515625" style="101" customWidth="1"/>
    <col min="16" max="16" width="14.42578125" style="101" bestFit="1" customWidth="1"/>
    <col min="17" max="18" width="3.28515625" style="101" customWidth="1"/>
    <col min="19" max="19" width="14.42578125" style="101" bestFit="1" customWidth="1"/>
    <col min="20" max="20" width="3.28515625" style="101" customWidth="1"/>
    <col min="21" max="24" width="11.42578125" style="41" hidden="1" customWidth="1"/>
    <col min="25" max="25" width="3.5703125" style="41" customWidth="1"/>
    <col min="26" max="26" width="24.85546875" style="41" bestFit="1" customWidth="1"/>
    <col min="27" max="27" width="17.7109375" style="41" bestFit="1" customWidth="1"/>
    <col min="28" max="28" width="3.28515625" style="41" customWidth="1"/>
    <col min="29" max="29" width="3.5703125" style="41" customWidth="1"/>
    <col min="30" max="30" width="2.140625" style="41" customWidth="1"/>
    <col min="31" max="31" width="14.42578125" style="41" customWidth="1"/>
    <col min="32" max="32" width="3.85546875" style="41" bestFit="1" customWidth="1"/>
    <col min="33" max="33" width="2.85546875" style="41" bestFit="1" customWidth="1"/>
    <col min="34" max="34" width="3.5703125" style="41" bestFit="1" customWidth="1"/>
    <col min="35" max="36" width="3.28515625" style="41" customWidth="1"/>
    <col min="37" max="37" width="3.42578125" style="41" bestFit="1" customWidth="1"/>
    <col min="38" max="39" width="3.7109375" style="41" bestFit="1" customWidth="1"/>
    <col min="40" max="40" width="3.5703125" style="41" customWidth="1"/>
    <col min="41" max="16384" width="11.42578125" style="41" hidden="1"/>
  </cols>
  <sheetData>
    <row r="1" spans="1:39" ht="109.5" customHeight="1" x14ac:dyDescent="0.25"/>
    <row r="2" spans="1:39" ht="7.5" customHeight="1" x14ac:dyDescent="0.25">
      <c r="AC2" s="42"/>
      <c r="AD2" s="42"/>
      <c r="AE2" s="42">
        <v>3</v>
      </c>
      <c r="AF2" s="42">
        <v>4</v>
      </c>
      <c r="AG2" s="42">
        <v>5</v>
      </c>
      <c r="AH2" s="42">
        <v>6</v>
      </c>
      <c r="AI2" s="42">
        <v>7</v>
      </c>
      <c r="AJ2" s="42">
        <v>8</v>
      </c>
      <c r="AK2" s="42">
        <v>9</v>
      </c>
      <c r="AL2" s="42">
        <v>10</v>
      </c>
      <c r="AM2" s="42">
        <v>11</v>
      </c>
    </row>
    <row r="3" spans="1:39" ht="23.25" customHeight="1" x14ac:dyDescent="0.35">
      <c r="P3" s="163" t="s">
        <v>501</v>
      </c>
      <c r="Q3" s="164"/>
      <c r="R3" s="164"/>
      <c r="S3" s="164"/>
      <c r="T3" s="164"/>
      <c r="U3" s="164"/>
      <c r="V3" s="164"/>
      <c r="W3" s="164"/>
      <c r="X3" s="164"/>
      <c r="Y3" s="164"/>
      <c r="Z3" s="164"/>
      <c r="AA3" s="165"/>
      <c r="AC3" s="170" t="str">
        <f ca="1">"&lt;- " &amp; Traduccion!B58 &amp; " " &amp; Traduccion!B60</f>
        <v>&lt;- Clic sobre el nombre para cambiar de grupo</v>
      </c>
      <c r="AD3" s="170"/>
      <c r="AE3" s="170"/>
      <c r="AF3" s="170"/>
      <c r="AG3" s="170"/>
      <c r="AH3" s="170"/>
      <c r="AI3" s="170"/>
      <c r="AJ3" s="170"/>
      <c r="AK3" s="170"/>
      <c r="AL3" s="170"/>
      <c r="AM3" s="170"/>
    </row>
    <row r="4" spans="1:39" x14ac:dyDescent="0.25">
      <c r="A4" s="92" t="str">
        <f>RIGHT(P3,1)</f>
        <v>B</v>
      </c>
      <c r="N4" s="42"/>
      <c r="O4" s="121">
        <f>COLUMN()-COLUMN(FaseGrupos!$M$7)</f>
        <v>2</v>
      </c>
      <c r="P4" s="121">
        <f>COLUMN()-COLUMN(FaseGrupos!$M$7)</f>
        <v>3</v>
      </c>
      <c r="Q4" s="121">
        <f>COLUMN()-COLUMN(FaseGrupos!$M$7)</f>
        <v>4</v>
      </c>
      <c r="R4" s="121">
        <f>COLUMN()-COLUMN(FaseGrupos!$M$7)</f>
        <v>5</v>
      </c>
      <c r="S4" s="121">
        <f>COLUMN()-COLUMN(FaseGrupos!$M$7)</f>
        <v>6</v>
      </c>
      <c r="T4" s="121">
        <f>COLUMN()-COLUMN(FaseGrupos!$M$7)</f>
        <v>7</v>
      </c>
      <c r="U4" s="121">
        <f>COLUMN()-COLUMN(FaseGrupos!$M$7)</f>
        <v>8</v>
      </c>
      <c r="V4" s="121"/>
      <c r="W4" s="121"/>
      <c r="X4" s="121"/>
      <c r="Y4" s="121">
        <f>COLUMN()-COLUMN(FaseGrupos!$M$7)</f>
        <v>12</v>
      </c>
      <c r="Z4" s="121">
        <f>COLUMN()-COLUMN(FaseGrupos!$M$7)</f>
        <v>13</v>
      </c>
      <c r="AA4" s="121">
        <f>COLUMN()-COLUMN(FaseGrupos!$M$7)</f>
        <v>14</v>
      </c>
      <c r="AD4" s="115"/>
      <c r="AE4" s="115"/>
      <c r="AF4" s="115"/>
      <c r="AG4" s="115"/>
      <c r="AH4" s="115"/>
      <c r="AI4" s="115"/>
      <c r="AJ4" s="115"/>
      <c r="AK4" s="115"/>
      <c r="AL4" s="115"/>
      <c r="AM4" s="115"/>
    </row>
    <row r="5" spans="1:39" x14ac:dyDescent="0.25">
      <c r="A5" s="92">
        <f>CODE(A4)</f>
        <v>66</v>
      </c>
      <c r="H5" s="41" t="s">
        <v>52</v>
      </c>
      <c r="I5" s="41" t="s">
        <v>53</v>
      </c>
      <c r="J5" s="41" t="s">
        <v>54</v>
      </c>
      <c r="K5" s="41" t="s">
        <v>55</v>
      </c>
      <c r="L5" s="41" t="s">
        <v>131</v>
      </c>
      <c r="M5" s="41" t="s">
        <v>132</v>
      </c>
      <c r="N5" s="41" t="s">
        <v>63</v>
      </c>
      <c r="P5" s="131" t="str">
        <f ca="1">Traduccion!B13</f>
        <v>Partido</v>
      </c>
      <c r="Q5" s="131"/>
      <c r="R5" s="131"/>
      <c r="S5" s="131"/>
      <c r="T5" s="41"/>
      <c r="Z5" s="51" t="str">
        <f ca="1">Traduccion!B14</f>
        <v>Estadio</v>
      </c>
      <c r="AA5" s="51" t="str">
        <f ca="1">Traduccion!B15</f>
        <v>Horario</v>
      </c>
      <c r="AC5" s="42"/>
      <c r="AD5" s="150" t="str">
        <f ca="1">Traduccion!$B$9 &amp; " " &amp; MID(Grupos!AC6,2,1)</f>
        <v>Grupo B</v>
      </c>
      <c r="AE5" s="158"/>
      <c r="AF5" s="118" t="str">
        <f ca="1">Traduccion!B42</f>
        <v>Pts</v>
      </c>
      <c r="AG5" s="118" t="str">
        <f ca="1">Traduccion!B43</f>
        <v>PJ</v>
      </c>
      <c r="AH5" s="118" t="str">
        <f ca="1">Traduccion!B44</f>
        <v>PG</v>
      </c>
      <c r="AI5" s="118" t="str">
        <f ca="1">Traduccion!B45</f>
        <v>PE</v>
      </c>
      <c r="AJ5" s="118" t="str">
        <f ca="1">Traduccion!B46</f>
        <v>PP</v>
      </c>
      <c r="AK5" s="118" t="str">
        <f ca="1">Traduccion!B47</f>
        <v>GF</v>
      </c>
      <c r="AL5" s="118" t="str">
        <f ca="1">Traduccion!B48</f>
        <v>GC</v>
      </c>
      <c r="AM5" s="118" t="str">
        <f ca="1">Traduccion!B49</f>
        <v>Dif</v>
      </c>
    </row>
    <row r="6" spans="1:39" x14ac:dyDescent="0.25">
      <c r="A6" s="92" t="str">
        <f t="shared" ref="A6:A11" si="0">LOOKUP(ROW(),config_filas,config_abreviaturas)</f>
        <v>G</v>
      </c>
      <c r="B6" s="41" t="str">
        <f ca="1">IF($D6&lt;&gt;"",CHAR($D6)&amp;E6,OFFSET(Config!$AD$1,Grupos!H6,2*MATCH(Grupos!A6,Config!$AA$3:$AA$11,0)-1))</f>
        <v>B1</v>
      </c>
      <c r="C6" s="41" t="str">
        <f ca="1">IF($D6&lt;&gt;"",CHAR($D6) &amp; F6, B6 &amp; $H6)</f>
        <v>B2</v>
      </c>
      <c r="D6" s="41">
        <f>$A$5</f>
        <v>66</v>
      </c>
      <c r="E6" s="41">
        <f ca="1">OFFSET(ConfigParejas!$A$1,Grupos!I6,2*INDEX(Config!$W$14:$W$27,MATCH(D6,Config!$V$14:$V$27,0))-1)</f>
        <v>1</v>
      </c>
      <c r="F6" s="41">
        <f ca="1">OFFSET(ConfigParejas!$A$1,Grupos!I6,2*INDEX(Config!$W$14:$W$27,MATCH(D6,Config!$V$14:$V$27,0)))</f>
        <v>2</v>
      </c>
      <c r="H6" s="94">
        <f>IF(A6="G",ROUND((COUNTIF($D$6:D6,D6))/2,0),ROUND((COUNTIF($A$6:A6,A6)/INDEX(Config!$X$2:$AA$11,MATCH(A6,config_abreviaturas,0),1)),0))</f>
        <v>1</v>
      </c>
      <c r="I6" s="41">
        <f>COUNTIF($D$6:D6,D6)</f>
        <v>1</v>
      </c>
      <c r="J6" s="41">
        <f>IF(OR(ISBLANK(Q6),ISBLANK(R6)),0,1)</f>
        <v>1</v>
      </c>
      <c r="K6" s="41">
        <f>IF(J6=0,"",(IF(Q6&gt;R6,1,IF(Q6=R6,0.5,0))))</f>
        <v>0</v>
      </c>
      <c r="O6" s="101" t="str">
        <f>IF(ISBLANK(INDEX(FaseGrupos!$N$5:$AA$53,MATCH(Grupos!$I6,FaseGrupos!$N$5:$N$53,0),Grupos!O$4)),"",INDEX(FaseGrupos!$N$5:$AA$53,MATCH(Grupos!$I6,FaseGrupos!$N$5:$N$53,0),Grupos!O$4))</f>
        <v/>
      </c>
      <c r="P6" s="101" t="str">
        <f ca="1">IF(ISBLANK(INDEX(FaseGrupos!$N$5:$AA$53,MATCH(Grupos!$I6,FaseGrupos!$N$5:$N$53,0),Grupos!P$4)),"",INDEX(FaseGrupos!$N$5:$AA$53,MATCH(Grupos!$I6,FaseGrupos!$N$5:$N$53,0),Grupos!P$4))</f>
        <v>Marruecos</v>
      </c>
      <c r="Q6" s="101">
        <f>IF(ISBLANK(INDEX(FaseGrupos!$N$5:$AA$53,MATCH(Grupos!$I6,FaseGrupos!$N$5:$N$53,0),Grupos!Q$4)),"",INDEX(FaseGrupos!$N$5:$AA$53,MATCH(Grupos!$I6,FaseGrupos!$N$5:$N$53,0),Grupos!Q$4))</f>
        <v>0</v>
      </c>
      <c r="R6" s="101">
        <f>IF(ISBLANK(INDEX(FaseGrupos!$N$5:$AA$53,MATCH(Grupos!$I6,FaseGrupos!$N$5:$N$53,0),Grupos!R$4)),"",INDEX(FaseGrupos!$N$5:$AA$53,MATCH(Grupos!$I6,FaseGrupos!$N$5:$N$53,0),Grupos!R$4))</f>
        <v>1</v>
      </c>
      <c r="S6" s="101" t="str">
        <f ca="1">IF(ISBLANK(INDEX(FaseGrupos!$N$5:$AA$53,MATCH(Grupos!$I6,FaseGrupos!$N$5:$N$53,0),Grupos!S$4)),"",INDEX(FaseGrupos!$N$5:$AA$53,MATCH(Grupos!$I6,FaseGrupos!$N$5:$N$53,0),Grupos!S$4))</f>
        <v>Irán</v>
      </c>
      <c r="T6" s="101" t="str">
        <f>IF(ISBLANK(INDEX(FaseGrupos!$N$5:$AA$53,MATCH(Grupos!$I6,FaseGrupos!$N$5:$N$53,0),Grupos!T$4)),"",INDEX(FaseGrupos!$N$5:$AA$53,MATCH(Grupos!$I6,FaseGrupos!$N$5:$N$53,0),Grupos!T$4))</f>
        <v/>
      </c>
      <c r="U6" s="101">
        <f>IF(ISBLANK(INDEX(FaseGrupos!$N$5:$AA$53,MATCH(Grupos!$I6,FaseGrupos!$N$5:$N$53,0),Grupos!U$4)),"",INDEX(FaseGrupos!$N$5:$AA$53,MATCH(Grupos!$I6,FaseGrupos!$N$5:$N$53,0),Grupos!U$4))</f>
        <v>1</v>
      </c>
      <c r="V6" s="101">
        <f ca="1">IF(NOW()&gt;=AA6,AA6,1/1/1970)</f>
        <v>43266.708333333336</v>
      </c>
      <c r="W6" s="101">
        <f ca="1">V6+COUNTIF($V$6:V6,V6)+2*ROW()</f>
        <v>43279.708333333336</v>
      </c>
      <c r="X6" s="101">
        <f ca="1">_xlfn.RANK.EQ(W6,$W$6:$W$11)</f>
        <v>6</v>
      </c>
      <c r="Y6" s="101" t="str">
        <f>IF(ISBLANK(INDEX(FaseGrupos!$N$5:$AA$53,MATCH(Grupos!$I6,FaseGrupos!$N$5:$N$53,0),Grupos!Y$4)),"",INDEX(FaseGrupos!$N$5:$AA$53,MATCH(Grupos!$I6,FaseGrupos!$N$5:$N$53,0),Grupos!Y$4))</f>
        <v/>
      </c>
      <c r="Z6" s="58" t="str">
        <f>IF(ISBLANK(INDEX(FaseGrupos!$N$5:$AA$53,MATCH(Grupos!$I6,FaseGrupos!$N$5:$N$53,0),Grupos!Z$4)),"",INDEX(FaseGrupos!$N$5:$AA$53,MATCH(Grupos!$I6,FaseGrupos!$N$5:$N$53,0),Grupos!Z$4))</f>
        <v>Estadio Krevstoski</v>
      </c>
      <c r="AA6" s="59">
        <f>IF(ISBLANK(INDEX(FaseGrupos!$N$5:$AA$53,MATCH(Grupos!$I6,FaseGrupos!$N$5:$N$53,0),Grupos!AA$4)),"",INDEX(FaseGrupos!$N$5:$AA$53,MATCH(Grupos!$I6,FaseGrupos!$N$5:$N$53,0),Grupos!AA$4))</f>
        <v>43266.708333333336</v>
      </c>
      <c r="AC6" s="42" t="str">
        <f>"C" &amp; $A$4 &amp; AD6</f>
        <v>CB1</v>
      </c>
      <c r="AD6" s="118">
        <v>1</v>
      </c>
      <c r="AE6" s="119" t="str">
        <f ca="1">INDEX(FaseGrupos!$AC$7:$AX$53,MATCH(Grupos!$AC6,FaseGrupos!$AC$7:$AC$53,0),Grupos!AE$2)</f>
        <v>España</v>
      </c>
      <c r="AF6" s="119">
        <f ca="1">INDEX(FaseGrupos!$AC$7:$AX$53,MATCH(Grupos!$AC6,FaseGrupos!$AC$7:$AC$53,0),Grupos!AF$2)</f>
        <v>5</v>
      </c>
      <c r="AG6" s="119">
        <f ca="1">INDEX(FaseGrupos!$AC$7:$AX$53,MATCH(Grupos!$AC6,FaseGrupos!$AC$7:$AC$53,0),Grupos!AG$2)</f>
        <v>3</v>
      </c>
      <c r="AH6" s="119">
        <f ca="1">INDEX(FaseGrupos!$AC$7:$AX$53,MATCH(Grupos!$AC6,FaseGrupos!$AC$7:$AC$53,0),Grupos!AH$2)</f>
        <v>1</v>
      </c>
      <c r="AI6" s="119">
        <f ca="1">INDEX(FaseGrupos!$AC$7:$AX$53,MATCH(Grupos!$AC6,FaseGrupos!$AC$7:$AC$53,0),Grupos!AI$2)</f>
        <v>2</v>
      </c>
      <c r="AJ6" s="119">
        <f ca="1">INDEX(FaseGrupos!$AC$7:$AX$53,MATCH(Grupos!$AC6,FaseGrupos!$AC$7:$AC$53,0),Grupos!AJ$2)</f>
        <v>0</v>
      </c>
      <c r="AK6" s="119">
        <f ca="1">INDEX(FaseGrupos!$AC$7:$AX$53,MATCH(Grupos!$AC6,FaseGrupos!$AC$7:$AC$53,0),Grupos!AK$2)</f>
        <v>6</v>
      </c>
      <c r="AL6" s="119">
        <f ca="1">INDEX(FaseGrupos!$AC$7:$AX$53,MATCH(Grupos!$AC6,FaseGrupos!$AC$7:$AC$53,0),Grupos!AL$2)</f>
        <v>5</v>
      </c>
      <c r="AM6" s="119">
        <f ca="1">INDEX(FaseGrupos!$AC$7:$AX$53,MATCH(Grupos!$AC6,FaseGrupos!$AC$7:$AC$53,0),Grupos!AM$2)</f>
        <v>1</v>
      </c>
    </row>
    <row r="7" spans="1:39" x14ac:dyDescent="0.25">
      <c r="A7" s="92" t="str">
        <f t="shared" si="0"/>
        <v>G</v>
      </c>
      <c r="B7" s="41" t="str">
        <f ca="1">IF($D7&lt;&gt;"",CHAR($D7)&amp;E7,OFFSET(Config!$AD$1,Grupos!H7,2*MATCH(Grupos!A7,Config!$AA$3:$AA$11,0)-1))</f>
        <v>B3</v>
      </c>
      <c r="C7" s="41" t="str">
        <f t="shared" ref="C7:C11" ca="1" si="1">IF($D7&lt;&gt;"",CHAR($D7) &amp; F7, B7 &amp; $H7)</f>
        <v>B4</v>
      </c>
      <c r="D7" s="41">
        <f t="shared" ref="D7:D11" si="2">$A$5</f>
        <v>66</v>
      </c>
      <c r="E7" s="41">
        <f ca="1">OFFSET(ConfigParejas!$A$1,Grupos!I7,2*INDEX(Config!$W$14:$W$27,MATCH(D7,Config!$V$14:$V$27,0))-1)</f>
        <v>3</v>
      </c>
      <c r="F7" s="41">
        <f ca="1">OFFSET(ConfigParejas!$A$1,Grupos!I7,2*INDEX(Config!$W$14:$W$27,MATCH(D7,Config!$V$14:$V$27,0)))</f>
        <v>4</v>
      </c>
      <c r="H7" s="94">
        <f>IF(A7="G",ROUND((COUNTIF($D$6:D7,D7))/2,0),ROUND((COUNTIF($A$6:A7,A7)/INDEX(Config!$X$2:$AA$11,MATCH(A7,config_abreviaturas,0),1)),0))</f>
        <v>1</v>
      </c>
      <c r="I7" s="41">
        <f>COUNTIF($D$6:D7,D7)</f>
        <v>2</v>
      </c>
      <c r="J7" s="41">
        <f t="shared" ref="J7:J11" si="3">IF(OR(ISBLANK(Q7),ISBLANK(R7)),0,1)</f>
        <v>1</v>
      </c>
      <c r="K7" s="41">
        <f t="shared" ref="K7:K11" si="4">IF(J7=0,"",(IF(Q7&gt;R7,1,IF(Q7=R7,0.5,0))))</f>
        <v>0.5</v>
      </c>
      <c r="O7" s="101" t="str">
        <f>IF(ISBLANK(INDEX(FaseGrupos!$N$5:$AA$53,MATCH(Grupos!$I7,FaseGrupos!$N$5:$N$53,0),Grupos!O$4)),"",INDEX(FaseGrupos!$N$5:$AA$53,MATCH(Grupos!$I7,FaseGrupos!$N$5:$N$53,0),Grupos!O$4))</f>
        <v/>
      </c>
      <c r="P7" s="101" t="str">
        <f ca="1">IF(ISBLANK(INDEX(FaseGrupos!$N$5:$AA$53,MATCH(Grupos!$I7,FaseGrupos!$N$5:$N$53,0),Grupos!P$4)),"",INDEX(FaseGrupos!$N$5:$AA$53,MATCH(Grupos!$I7,FaseGrupos!$N$5:$N$53,0),Grupos!P$4))</f>
        <v>Portugal</v>
      </c>
      <c r="Q7" s="101">
        <f>IF(ISBLANK(INDEX(FaseGrupos!$N$5:$AA$53,MATCH(Grupos!$I7,FaseGrupos!$N$5:$N$53,0),Grupos!Q$4)),"",INDEX(FaseGrupos!$N$5:$AA$53,MATCH(Grupos!$I7,FaseGrupos!$N$5:$N$53,0),Grupos!Q$4))</f>
        <v>3</v>
      </c>
      <c r="R7" s="101">
        <f>IF(ISBLANK(INDEX(FaseGrupos!$N$5:$AA$53,MATCH(Grupos!$I7,FaseGrupos!$N$5:$N$53,0),Grupos!R$4)),"",INDEX(FaseGrupos!$N$5:$AA$53,MATCH(Grupos!$I7,FaseGrupos!$N$5:$N$53,0),Grupos!R$4))</f>
        <v>3</v>
      </c>
      <c r="S7" s="101" t="str">
        <f ca="1">IF(ISBLANK(INDEX(FaseGrupos!$N$5:$AA$53,MATCH(Grupos!$I7,FaseGrupos!$N$5:$N$53,0),Grupos!S$4)),"",INDEX(FaseGrupos!$N$5:$AA$53,MATCH(Grupos!$I7,FaseGrupos!$N$5:$N$53,0),Grupos!S$4))</f>
        <v>España</v>
      </c>
      <c r="T7" s="101" t="str">
        <f>IF(ISBLANK(INDEX(FaseGrupos!$N$5:$AA$53,MATCH(Grupos!$I7,FaseGrupos!$N$5:$N$53,0),Grupos!T$4)),"",INDEX(FaseGrupos!$N$5:$AA$53,MATCH(Grupos!$I7,FaseGrupos!$N$5:$N$53,0),Grupos!T$4))</f>
        <v/>
      </c>
      <c r="U7" s="101">
        <f>IF(ISBLANK(INDEX(FaseGrupos!$N$5:$AA$53,MATCH(Grupos!$I7,FaseGrupos!$N$5:$N$53,0),Grupos!U$4)),"",INDEX(FaseGrupos!$N$5:$AA$53,MATCH(Grupos!$I7,FaseGrupos!$N$5:$N$53,0),Grupos!U$4))</f>
        <v>0.5</v>
      </c>
      <c r="V7" s="101">
        <f t="shared" ref="V7:V11" ca="1" si="5">IF(NOW()&gt;=AA7,AA7,1/1/1970)</f>
        <v>43266.833333333336</v>
      </c>
      <c r="W7" s="101">
        <f ca="1">V7+COUNTIF($V$6:V7,V7)+2*ROW()</f>
        <v>43281.833333333336</v>
      </c>
      <c r="X7" s="101">
        <f t="shared" ref="X7:X11" ca="1" si="6">_xlfn.RANK.EQ(W7,$W$6:$W$11)</f>
        <v>5</v>
      </c>
      <c r="Y7" s="101" t="str">
        <f>IF(ISBLANK(INDEX(FaseGrupos!$N$5:$AA$53,MATCH(Grupos!$I7,FaseGrupos!$N$5:$N$53,0),Grupos!Y$4)),"",INDEX(FaseGrupos!$N$5:$AA$53,MATCH(Grupos!$I7,FaseGrupos!$N$5:$N$53,0),Grupos!Y$4))</f>
        <v/>
      </c>
      <c r="Z7" s="58" t="str">
        <f>IF(ISBLANK(INDEX(FaseGrupos!$N$5:$AA$53,MATCH(Grupos!$I7,FaseGrupos!$N$5:$N$53,0),Grupos!Z$4)),"",INDEX(FaseGrupos!$N$5:$AA$53,MATCH(Grupos!$I7,FaseGrupos!$N$5:$N$53,0),Grupos!Z$4))</f>
        <v>Estadio Fisht</v>
      </c>
      <c r="AA7" s="59">
        <f>IF(ISBLANK(INDEX(FaseGrupos!$N$5:$AA$53,MATCH(Grupos!$I7,FaseGrupos!$N$5:$N$53,0),Grupos!AA$4)),"",INDEX(FaseGrupos!$N$5:$AA$53,MATCH(Grupos!$I7,FaseGrupos!$N$5:$N$53,0),Grupos!AA$4))</f>
        <v>43266.833333333336</v>
      </c>
      <c r="AC7" s="42" t="str">
        <f t="shared" ref="AC7:AC9" si="7">"C" &amp; $A$4 &amp; AD7</f>
        <v>CB2</v>
      </c>
      <c r="AD7" s="118">
        <v>2</v>
      </c>
      <c r="AE7" s="119" t="str">
        <f ca="1">INDEX(FaseGrupos!$AC$7:$AX$53,MATCH(Grupos!$AC7,FaseGrupos!$AC$7:$AC$53,0),Grupos!AE$2)</f>
        <v>Portugal</v>
      </c>
      <c r="AF7" s="119">
        <f ca="1">INDEX(FaseGrupos!$AC$7:$AX$53,MATCH(Grupos!$AC7,FaseGrupos!$AC$7:$AC$53,0),Grupos!AF$2)</f>
        <v>5</v>
      </c>
      <c r="AG7" s="119">
        <f ca="1">INDEX(FaseGrupos!$AC$7:$AX$53,MATCH(Grupos!$AC7,FaseGrupos!$AC$7:$AC$53,0),Grupos!AG$2)</f>
        <v>3</v>
      </c>
      <c r="AH7" s="119">
        <f ca="1">INDEX(FaseGrupos!$AC$7:$AX$53,MATCH(Grupos!$AC7,FaseGrupos!$AC$7:$AC$53,0),Grupos!AH$2)</f>
        <v>1</v>
      </c>
      <c r="AI7" s="119">
        <f ca="1">INDEX(FaseGrupos!$AC$7:$AX$53,MATCH(Grupos!$AC7,FaseGrupos!$AC$7:$AC$53,0),Grupos!AI$2)</f>
        <v>2</v>
      </c>
      <c r="AJ7" s="119">
        <f ca="1">INDEX(FaseGrupos!$AC$7:$AX$53,MATCH(Grupos!$AC7,FaseGrupos!$AC$7:$AC$53,0),Grupos!AJ$2)</f>
        <v>0</v>
      </c>
      <c r="AK7" s="119">
        <f ca="1">INDEX(FaseGrupos!$AC$7:$AX$53,MATCH(Grupos!$AC7,FaseGrupos!$AC$7:$AC$53,0),Grupos!AK$2)</f>
        <v>5</v>
      </c>
      <c r="AL7" s="119">
        <f ca="1">INDEX(FaseGrupos!$AC$7:$AX$53,MATCH(Grupos!$AC7,FaseGrupos!$AC$7:$AC$53,0),Grupos!AL$2)</f>
        <v>4</v>
      </c>
      <c r="AM7" s="119">
        <f ca="1">INDEX(FaseGrupos!$AC$7:$AX$53,MATCH(Grupos!$AC7,FaseGrupos!$AC$7:$AC$53,0),Grupos!AM$2)</f>
        <v>1</v>
      </c>
    </row>
    <row r="8" spans="1:39" x14ac:dyDescent="0.25">
      <c r="A8" s="92" t="str">
        <f t="shared" si="0"/>
        <v>G</v>
      </c>
      <c r="B8" s="41" t="str">
        <f ca="1">IF($D8&lt;&gt;"",CHAR($D8)&amp;E8,OFFSET(Config!$AD$1,Grupos!H8,2*MATCH(Grupos!A8,Config!$AA$3:$AA$11,0)-1))</f>
        <v>B3</v>
      </c>
      <c r="C8" s="41" t="str">
        <f t="shared" ca="1" si="1"/>
        <v>B1</v>
      </c>
      <c r="D8" s="41">
        <f t="shared" si="2"/>
        <v>66</v>
      </c>
      <c r="E8" s="41">
        <f ca="1">OFFSET(ConfigParejas!$A$1,Grupos!I8,2*INDEX(Config!$W$14:$W$27,MATCH(D8,Config!$V$14:$V$27,0))-1)</f>
        <v>3</v>
      </c>
      <c r="F8" s="41">
        <f ca="1">OFFSET(ConfigParejas!$A$1,Grupos!I8,2*INDEX(Config!$W$14:$W$27,MATCH(D8,Config!$V$14:$V$27,0)))</f>
        <v>1</v>
      </c>
      <c r="H8" s="94">
        <f>IF(A8="G",ROUND((COUNTIF($D$6:D8,D8))/2,0),ROUND((COUNTIF($A$6:A8,A8)/INDEX(Config!$X$2:$AA$11,MATCH(A8,config_abreviaturas,0),1)),0))</f>
        <v>2</v>
      </c>
      <c r="I8" s="41">
        <f>COUNTIF($D$6:D8,D8)</f>
        <v>3</v>
      </c>
      <c r="J8" s="41">
        <f t="shared" si="3"/>
        <v>1</v>
      </c>
      <c r="K8" s="41">
        <f t="shared" si="4"/>
        <v>1</v>
      </c>
      <c r="O8" s="101" t="str">
        <f>IF(ISBLANK(INDEX(FaseGrupos!$N$5:$AA$53,MATCH(Grupos!$I8,FaseGrupos!$N$5:$N$53,0),Grupos!O$4)),"",INDEX(FaseGrupos!$N$5:$AA$53,MATCH(Grupos!$I8,FaseGrupos!$N$5:$N$53,0),Grupos!O$4))</f>
        <v/>
      </c>
      <c r="P8" s="101" t="str">
        <f ca="1">IF(ISBLANK(INDEX(FaseGrupos!$N$5:$AA$53,MATCH(Grupos!$I8,FaseGrupos!$N$5:$N$53,0),Grupos!P$4)),"",INDEX(FaseGrupos!$N$5:$AA$53,MATCH(Grupos!$I8,FaseGrupos!$N$5:$N$53,0),Grupos!P$4))</f>
        <v>Portugal</v>
      </c>
      <c r="Q8" s="101">
        <f>IF(ISBLANK(INDEX(FaseGrupos!$N$5:$AA$53,MATCH(Grupos!$I8,FaseGrupos!$N$5:$N$53,0),Grupos!Q$4)),"",INDEX(FaseGrupos!$N$5:$AA$53,MATCH(Grupos!$I8,FaseGrupos!$N$5:$N$53,0),Grupos!Q$4))</f>
        <v>1</v>
      </c>
      <c r="R8" s="101">
        <f>IF(ISBLANK(INDEX(FaseGrupos!$N$5:$AA$53,MATCH(Grupos!$I8,FaseGrupos!$N$5:$N$53,0),Grupos!R$4)),"",INDEX(FaseGrupos!$N$5:$AA$53,MATCH(Grupos!$I8,FaseGrupos!$N$5:$N$53,0),Grupos!R$4))</f>
        <v>0</v>
      </c>
      <c r="S8" s="101" t="str">
        <f ca="1">IF(ISBLANK(INDEX(FaseGrupos!$N$5:$AA$53,MATCH(Grupos!$I8,FaseGrupos!$N$5:$N$53,0),Grupos!S$4)),"",INDEX(FaseGrupos!$N$5:$AA$53,MATCH(Grupos!$I8,FaseGrupos!$N$5:$N$53,0),Grupos!S$4))</f>
        <v>Marruecos</v>
      </c>
      <c r="T8" s="101" t="str">
        <f>IF(ISBLANK(INDEX(FaseGrupos!$N$5:$AA$53,MATCH(Grupos!$I8,FaseGrupos!$N$5:$N$53,0),Grupos!T$4)),"",INDEX(FaseGrupos!$N$5:$AA$53,MATCH(Grupos!$I8,FaseGrupos!$N$5:$N$53,0),Grupos!T$4))</f>
        <v/>
      </c>
      <c r="U8" s="101">
        <f>IF(ISBLANK(INDEX(FaseGrupos!$N$5:$AA$53,MATCH(Grupos!$I8,FaseGrupos!$N$5:$N$53,0),Grupos!U$4)),"",INDEX(FaseGrupos!$N$5:$AA$53,MATCH(Grupos!$I8,FaseGrupos!$N$5:$N$53,0),Grupos!U$4))</f>
        <v>0</v>
      </c>
      <c r="V8" s="101">
        <f t="shared" ca="1" si="5"/>
        <v>43271.583333333336</v>
      </c>
      <c r="W8" s="101">
        <f ca="1">V8+COUNTIF($V$6:V8,V8)+2*ROW()</f>
        <v>43288.583333333336</v>
      </c>
      <c r="X8" s="101">
        <f t="shared" ca="1" si="6"/>
        <v>4</v>
      </c>
      <c r="Y8" s="101" t="str">
        <f>IF(ISBLANK(INDEX(FaseGrupos!$N$5:$AA$53,MATCH(Grupos!$I8,FaseGrupos!$N$5:$N$53,0),Grupos!Y$4)),"",INDEX(FaseGrupos!$N$5:$AA$53,MATCH(Grupos!$I8,FaseGrupos!$N$5:$N$53,0),Grupos!Y$4))</f>
        <v/>
      </c>
      <c r="Z8" s="58" t="str">
        <f>IF(ISBLANK(INDEX(FaseGrupos!$N$5:$AA$53,MATCH(Grupos!$I8,FaseGrupos!$N$5:$N$53,0),Grupos!Z$4)),"",INDEX(FaseGrupos!$N$5:$AA$53,MATCH(Grupos!$I8,FaseGrupos!$N$5:$N$53,0),Grupos!Z$4))</f>
        <v>Estadio Olímpico Luzhniki</v>
      </c>
      <c r="AA8" s="59">
        <f>IF(ISBLANK(INDEX(FaseGrupos!$N$5:$AA$53,MATCH(Grupos!$I8,FaseGrupos!$N$5:$N$53,0),Grupos!AA$4)),"",INDEX(FaseGrupos!$N$5:$AA$53,MATCH(Grupos!$I8,FaseGrupos!$N$5:$N$53,0),Grupos!AA$4))</f>
        <v>43271.583333333336</v>
      </c>
      <c r="AC8" s="42" t="str">
        <f t="shared" si="7"/>
        <v>CB3</v>
      </c>
      <c r="AD8" s="118">
        <v>3</v>
      </c>
      <c r="AE8" s="120" t="str">
        <f ca="1">INDEX(FaseGrupos!$AC$7:$AX$53,MATCH(Grupos!$AC8,FaseGrupos!$AC$7:$AC$53,0),Grupos!AE$2)</f>
        <v>Irán</v>
      </c>
      <c r="AF8" s="120">
        <f ca="1">INDEX(FaseGrupos!$AC$7:$AX$53,MATCH(Grupos!$AC8,FaseGrupos!$AC$7:$AC$53,0),Grupos!AF$2)</f>
        <v>4</v>
      </c>
      <c r="AG8" s="120">
        <f ca="1">INDEX(FaseGrupos!$AC$7:$AX$53,MATCH(Grupos!$AC8,FaseGrupos!$AC$7:$AC$53,0),Grupos!AG$2)</f>
        <v>3</v>
      </c>
      <c r="AH8" s="120">
        <f ca="1">INDEX(FaseGrupos!$AC$7:$AX$53,MATCH(Grupos!$AC8,FaseGrupos!$AC$7:$AC$53,0),Grupos!AH$2)</f>
        <v>1</v>
      </c>
      <c r="AI8" s="120">
        <f ca="1">INDEX(FaseGrupos!$AC$7:$AX$53,MATCH(Grupos!$AC8,FaseGrupos!$AC$7:$AC$53,0),Grupos!AI$2)</f>
        <v>1</v>
      </c>
      <c r="AJ8" s="120">
        <f ca="1">INDEX(FaseGrupos!$AC$7:$AX$53,MATCH(Grupos!$AC8,FaseGrupos!$AC$7:$AC$53,0),Grupos!AJ$2)</f>
        <v>1</v>
      </c>
      <c r="AK8" s="120">
        <f ca="1">INDEX(FaseGrupos!$AC$7:$AX$53,MATCH(Grupos!$AC8,FaseGrupos!$AC$7:$AC$53,0),Grupos!AK$2)</f>
        <v>2</v>
      </c>
      <c r="AL8" s="120">
        <f ca="1">INDEX(FaseGrupos!$AC$7:$AX$53,MATCH(Grupos!$AC8,FaseGrupos!$AC$7:$AC$53,0),Grupos!AL$2)</f>
        <v>2</v>
      </c>
      <c r="AM8" s="120">
        <f ca="1">INDEX(FaseGrupos!$AC$7:$AX$53,MATCH(Grupos!$AC8,FaseGrupos!$AC$7:$AC$53,0),Grupos!AM$2)</f>
        <v>0</v>
      </c>
    </row>
    <row r="9" spans="1:39" x14ac:dyDescent="0.25">
      <c r="A9" s="92" t="str">
        <f t="shared" si="0"/>
        <v>G</v>
      </c>
      <c r="B9" s="41" t="str">
        <f ca="1">IF($D9&lt;&gt;"",CHAR($D9)&amp;E9,OFFSET(Config!$AD$1,Grupos!H9,2*MATCH(Grupos!A9,Config!$AA$3:$AA$11,0)-1))</f>
        <v>B2</v>
      </c>
      <c r="C9" s="41" t="str">
        <f t="shared" ca="1" si="1"/>
        <v>B4</v>
      </c>
      <c r="D9" s="41">
        <f t="shared" si="2"/>
        <v>66</v>
      </c>
      <c r="E9" s="41">
        <f ca="1">OFFSET(ConfigParejas!$A$1,Grupos!I9,2*INDEX(Config!$W$14:$W$27,MATCH(D9,Config!$V$14:$V$27,0))-1)</f>
        <v>2</v>
      </c>
      <c r="F9" s="41">
        <f ca="1">OFFSET(ConfigParejas!$A$1,Grupos!I9,2*INDEX(Config!$W$14:$W$27,MATCH(D9,Config!$V$14:$V$27,0)))</f>
        <v>4</v>
      </c>
      <c r="H9" s="94">
        <f>IF(A9="G",ROUND((COUNTIF($D$6:D9,D9))/2,0),ROUND((COUNTIF($A$6:A9,A9)/INDEX(Config!$X$2:$AA$11,MATCH(A9,config_abreviaturas,0),1)),0))</f>
        <v>2</v>
      </c>
      <c r="I9" s="41">
        <f>COUNTIF($D$6:D9,D9)</f>
        <v>4</v>
      </c>
      <c r="J9" s="41">
        <f t="shared" si="3"/>
        <v>1</v>
      </c>
      <c r="K9" s="41">
        <f t="shared" si="4"/>
        <v>0</v>
      </c>
      <c r="O9" s="101" t="str">
        <f>IF(ISBLANK(INDEX(FaseGrupos!$N$5:$AA$53,MATCH(Grupos!$I9,FaseGrupos!$N$5:$N$53,0),Grupos!O$4)),"",INDEX(FaseGrupos!$N$5:$AA$53,MATCH(Grupos!$I9,FaseGrupos!$N$5:$N$53,0),Grupos!O$4))</f>
        <v/>
      </c>
      <c r="P9" s="101" t="str">
        <f ca="1">IF(ISBLANK(INDEX(FaseGrupos!$N$5:$AA$53,MATCH(Grupos!$I9,FaseGrupos!$N$5:$N$53,0),Grupos!P$4)),"",INDEX(FaseGrupos!$N$5:$AA$53,MATCH(Grupos!$I9,FaseGrupos!$N$5:$N$53,0),Grupos!P$4))</f>
        <v>Irán</v>
      </c>
      <c r="Q9" s="101">
        <f>IF(ISBLANK(INDEX(FaseGrupos!$N$5:$AA$53,MATCH(Grupos!$I9,FaseGrupos!$N$5:$N$53,0),Grupos!Q$4)),"",INDEX(FaseGrupos!$N$5:$AA$53,MATCH(Grupos!$I9,FaseGrupos!$N$5:$N$53,0),Grupos!Q$4))</f>
        <v>0</v>
      </c>
      <c r="R9" s="101">
        <f>IF(ISBLANK(INDEX(FaseGrupos!$N$5:$AA$53,MATCH(Grupos!$I9,FaseGrupos!$N$5:$N$53,0),Grupos!R$4)),"",INDEX(FaseGrupos!$N$5:$AA$53,MATCH(Grupos!$I9,FaseGrupos!$N$5:$N$53,0),Grupos!R$4))</f>
        <v>1</v>
      </c>
      <c r="S9" s="101" t="str">
        <f ca="1">IF(ISBLANK(INDEX(FaseGrupos!$N$5:$AA$53,MATCH(Grupos!$I9,FaseGrupos!$N$5:$N$53,0),Grupos!S$4)),"",INDEX(FaseGrupos!$N$5:$AA$53,MATCH(Grupos!$I9,FaseGrupos!$N$5:$N$53,0),Grupos!S$4))</f>
        <v>España</v>
      </c>
      <c r="T9" s="101" t="str">
        <f>IF(ISBLANK(INDEX(FaseGrupos!$N$5:$AA$53,MATCH(Grupos!$I9,FaseGrupos!$N$5:$N$53,0),Grupos!T$4)),"",INDEX(FaseGrupos!$N$5:$AA$53,MATCH(Grupos!$I9,FaseGrupos!$N$5:$N$53,0),Grupos!T$4))</f>
        <v/>
      </c>
      <c r="U9" s="101">
        <f>IF(ISBLANK(INDEX(FaseGrupos!$N$5:$AA$53,MATCH(Grupos!$I9,FaseGrupos!$N$5:$N$53,0),Grupos!U$4)),"",INDEX(FaseGrupos!$N$5:$AA$53,MATCH(Grupos!$I9,FaseGrupos!$N$5:$N$53,0),Grupos!U$4))</f>
        <v>1</v>
      </c>
      <c r="V9" s="101">
        <f t="shared" ca="1" si="5"/>
        <v>43271.833333333336</v>
      </c>
      <c r="W9" s="101">
        <f ca="1">V9+COUNTIF($V$6:V9,V9)+2*ROW()</f>
        <v>43290.833333333336</v>
      </c>
      <c r="X9" s="101">
        <f t="shared" ca="1" si="6"/>
        <v>3</v>
      </c>
      <c r="Y9" s="101" t="str">
        <f>IF(ISBLANK(INDEX(FaseGrupos!$N$5:$AA$53,MATCH(Grupos!$I9,FaseGrupos!$N$5:$N$53,0),Grupos!Y$4)),"",INDEX(FaseGrupos!$N$5:$AA$53,MATCH(Grupos!$I9,FaseGrupos!$N$5:$N$53,0),Grupos!Y$4))</f>
        <v/>
      </c>
      <c r="Z9" s="58" t="str">
        <f>IF(ISBLANK(INDEX(FaseGrupos!$N$5:$AA$53,MATCH(Grupos!$I9,FaseGrupos!$N$5:$N$53,0),Grupos!Z$4)),"",INDEX(FaseGrupos!$N$5:$AA$53,MATCH(Grupos!$I9,FaseGrupos!$N$5:$N$53,0),Grupos!Z$4))</f>
        <v>Kazán Arena</v>
      </c>
      <c r="AA9" s="59">
        <f>IF(ISBLANK(INDEX(FaseGrupos!$N$5:$AA$53,MATCH(Grupos!$I9,FaseGrupos!$N$5:$N$53,0),Grupos!AA$4)),"",INDEX(FaseGrupos!$N$5:$AA$53,MATCH(Grupos!$I9,FaseGrupos!$N$5:$N$53,0),Grupos!AA$4))</f>
        <v>43271.833333333336</v>
      </c>
      <c r="AC9" s="42" t="str">
        <f t="shared" si="7"/>
        <v>CB4</v>
      </c>
      <c r="AD9" s="118">
        <v>4</v>
      </c>
      <c r="AE9" s="120" t="str">
        <f ca="1">INDEX(FaseGrupos!$AC$7:$AX$53,MATCH(Grupos!$AC9,FaseGrupos!$AC$7:$AC$53,0),Grupos!AE$2)</f>
        <v>Marruecos</v>
      </c>
      <c r="AF9" s="120">
        <f ca="1">INDEX(FaseGrupos!$AC$7:$AX$53,MATCH(Grupos!$AC9,FaseGrupos!$AC$7:$AC$53,0),Grupos!AF$2)</f>
        <v>1</v>
      </c>
      <c r="AG9" s="120">
        <f ca="1">INDEX(FaseGrupos!$AC$7:$AX$53,MATCH(Grupos!$AC9,FaseGrupos!$AC$7:$AC$53,0),Grupos!AG$2)</f>
        <v>3</v>
      </c>
      <c r="AH9" s="120">
        <f ca="1">INDEX(FaseGrupos!$AC$7:$AX$53,MATCH(Grupos!$AC9,FaseGrupos!$AC$7:$AC$53,0),Grupos!AH$2)</f>
        <v>0</v>
      </c>
      <c r="AI9" s="120">
        <f ca="1">INDEX(FaseGrupos!$AC$7:$AX$53,MATCH(Grupos!$AC9,FaseGrupos!$AC$7:$AC$53,0),Grupos!AI$2)</f>
        <v>1</v>
      </c>
      <c r="AJ9" s="120">
        <f ca="1">INDEX(FaseGrupos!$AC$7:$AX$53,MATCH(Grupos!$AC9,FaseGrupos!$AC$7:$AC$53,0),Grupos!AJ$2)</f>
        <v>2</v>
      </c>
      <c r="AK9" s="120">
        <f ca="1">INDEX(FaseGrupos!$AC$7:$AX$53,MATCH(Grupos!$AC9,FaseGrupos!$AC$7:$AC$53,0),Grupos!AK$2)</f>
        <v>2</v>
      </c>
      <c r="AL9" s="120">
        <f ca="1">INDEX(FaseGrupos!$AC$7:$AX$53,MATCH(Grupos!$AC9,FaseGrupos!$AC$7:$AC$53,0),Grupos!AL$2)</f>
        <v>4</v>
      </c>
      <c r="AM9" s="120">
        <f ca="1">INDEX(FaseGrupos!$AC$7:$AX$53,MATCH(Grupos!$AC9,FaseGrupos!$AC$7:$AC$53,0),Grupos!AM$2)</f>
        <v>-2</v>
      </c>
    </row>
    <row r="10" spans="1:39" x14ac:dyDescent="0.25">
      <c r="A10" s="92" t="str">
        <f t="shared" si="0"/>
        <v>G</v>
      </c>
      <c r="B10" s="41" t="str">
        <f ca="1">IF($D10&lt;&gt;"",CHAR($D10)&amp;E10,OFFSET(Config!$AD$1,Grupos!H10,2*MATCH(Grupos!A10,Config!$AA$3:$AA$11,0)-1))</f>
        <v>B2</v>
      </c>
      <c r="C10" s="41" t="str">
        <f t="shared" ca="1" si="1"/>
        <v>B3</v>
      </c>
      <c r="D10" s="41">
        <f t="shared" si="2"/>
        <v>66</v>
      </c>
      <c r="E10" s="41">
        <f ca="1">OFFSET(ConfigParejas!$A$1,Grupos!I10,2*INDEX(Config!$W$14:$W$27,MATCH(D10,Config!$V$14:$V$27,0))-1)</f>
        <v>2</v>
      </c>
      <c r="F10" s="41">
        <f ca="1">OFFSET(ConfigParejas!$A$1,Grupos!I10,2*INDEX(Config!$W$14:$W$27,MATCH(D10,Config!$V$14:$V$27,0)))</f>
        <v>3</v>
      </c>
      <c r="H10" s="94">
        <f>IF(A10="G",ROUND((COUNTIF($D$6:D10,D10))/2,0),ROUND((COUNTIF($A$6:A10,A10)/INDEX(Config!$X$2:$AA$11,MATCH(A10,config_abreviaturas,0),1)),0))</f>
        <v>3</v>
      </c>
      <c r="I10" s="41">
        <f>COUNTIF($D$6:D10,D10)</f>
        <v>5</v>
      </c>
      <c r="J10" s="41">
        <f t="shared" si="3"/>
        <v>1</v>
      </c>
      <c r="K10" s="41">
        <f t="shared" si="4"/>
        <v>0.5</v>
      </c>
      <c r="O10" s="101" t="str">
        <f>IF(ISBLANK(INDEX(FaseGrupos!$N$5:$AA$53,MATCH(Grupos!$I10,FaseGrupos!$N$5:$N$53,0),Grupos!O$4)),"",INDEX(FaseGrupos!$N$5:$AA$53,MATCH(Grupos!$I10,FaseGrupos!$N$5:$N$53,0),Grupos!O$4))</f>
        <v/>
      </c>
      <c r="P10" s="101" t="str">
        <f ca="1">IF(ISBLANK(INDEX(FaseGrupos!$N$5:$AA$53,MATCH(Grupos!$I10,FaseGrupos!$N$5:$N$53,0),Grupos!P$4)),"",INDEX(FaseGrupos!$N$5:$AA$53,MATCH(Grupos!$I10,FaseGrupos!$N$5:$N$53,0),Grupos!P$4))</f>
        <v>Irán</v>
      </c>
      <c r="Q10" s="101">
        <f>IF(ISBLANK(INDEX(FaseGrupos!$N$5:$AA$53,MATCH(Grupos!$I10,FaseGrupos!$N$5:$N$53,0),Grupos!Q$4)),"",INDEX(FaseGrupos!$N$5:$AA$53,MATCH(Grupos!$I10,FaseGrupos!$N$5:$N$53,0),Grupos!Q$4))</f>
        <v>1</v>
      </c>
      <c r="R10" s="101">
        <f>IF(ISBLANK(INDEX(FaseGrupos!$N$5:$AA$53,MATCH(Grupos!$I10,FaseGrupos!$N$5:$N$53,0),Grupos!R$4)),"",INDEX(FaseGrupos!$N$5:$AA$53,MATCH(Grupos!$I10,FaseGrupos!$N$5:$N$53,0),Grupos!R$4))</f>
        <v>1</v>
      </c>
      <c r="S10" s="101" t="str">
        <f ca="1">IF(ISBLANK(INDEX(FaseGrupos!$N$5:$AA$53,MATCH(Grupos!$I10,FaseGrupos!$N$5:$N$53,0),Grupos!S$4)),"",INDEX(FaseGrupos!$N$5:$AA$53,MATCH(Grupos!$I10,FaseGrupos!$N$5:$N$53,0),Grupos!S$4))</f>
        <v>Portugal</v>
      </c>
      <c r="T10" s="101" t="str">
        <f>IF(ISBLANK(INDEX(FaseGrupos!$N$5:$AA$53,MATCH(Grupos!$I10,FaseGrupos!$N$5:$N$53,0),Grupos!T$4)),"",INDEX(FaseGrupos!$N$5:$AA$53,MATCH(Grupos!$I10,FaseGrupos!$N$5:$N$53,0),Grupos!T$4))</f>
        <v/>
      </c>
      <c r="U10" s="101">
        <f>IF(ISBLANK(INDEX(FaseGrupos!$N$5:$AA$53,MATCH(Grupos!$I10,FaseGrupos!$N$5:$N$53,0),Grupos!U$4)),"",INDEX(FaseGrupos!$N$5:$AA$53,MATCH(Grupos!$I10,FaseGrupos!$N$5:$N$53,0),Grupos!U$4))</f>
        <v>0.5</v>
      </c>
      <c r="V10" s="101">
        <f t="shared" ca="1" si="5"/>
        <v>43276.833333333336</v>
      </c>
      <c r="W10" s="101">
        <f ca="1">V10+COUNTIF($V$6:V10,V10)+2*ROW()</f>
        <v>43297.833333333336</v>
      </c>
      <c r="X10" s="101">
        <f t="shared" ca="1" si="6"/>
        <v>2</v>
      </c>
      <c r="Y10" s="101" t="str">
        <f>IF(ISBLANK(INDEX(FaseGrupos!$N$5:$AA$53,MATCH(Grupos!$I10,FaseGrupos!$N$5:$N$53,0),Grupos!Y$4)),"",INDEX(FaseGrupos!$N$5:$AA$53,MATCH(Grupos!$I10,FaseGrupos!$N$5:$N$53,0),Grupos!Y$4))</f>
        <v/>
      </c>
      <c r="Z10" s="58" t="str">
        <f>IF(ISBLANK(INDEX(FaseGrupos!$N$5:$AA$53,MATCH(Grupos!$I10,FaseGrupos!$N$5:$N$53,0),Grupos!Z$4)),"",INDEX(FaseGrupos!$N$5:$AA$53,MATCH(Grupos!$I10,FaseGrupos!$N$5:$N$53,0),Grupos!Z$4))</f>
        <v>Mordovia Arena</v>
      </c>
      <c r="AA10" s="59">
        <f>IF(ISBLANK(INDEX(FaseGrupos!$N$5:$AA$53,MATCH(Grupos!$I10,FaseGrupos!$N$5:$N$53,0),Grupos!AA$4)),"",INDEX(FaseGrupos!$N$5:$AA$53,MATCH(Grupos!$I10,FaseGrupos!$N$5:$N$53,0),Grupos!AA$4))</f>
        <v>43276.833333333336</v>
      </c>
      <c r="AC10" s="42"/>
    </row>
    <row r="11" spans="1:39" x14ac:dyDescent="0.25">
      <c r="A11" s="92" t="str">
        <f t="shared" si="0"/>
        <v>G</v>
      </c>
      <c r="B11" s="41" t="str">
        <f ca="1">IF($D11&lt;&gt;"",CHAR($D11)&amp;E11,OFFSET(Config!$AD$1,Grupos!H11,2*MATCH(Grupos!A11,Config!$AA$3:$AA$11,0)-1))</f>
        <v>B4</v>
      </c>
      <c r="C11" s="41" t="str">
        <f t="shared" ca="1" si="1"/>
        <v>B1</v>
      </c>
      <c r="D11" s="41">
        <f t="shared" si="2"/>
        <v>66</v>
      </c>
      <c r="E11" s="41">
        <f ca="1">OFFSET(ConfigParejas!$A$1,Grupos!I11,2*INDEX(Config!$W$14:$W$27,MATCH(D11,Config!$V$14:$V$27,0))-1)</f>
        <v>4</v>
      </c>
      <c r="F11" s="41">
        <f ca="1">OFFSET(ConfigParejas!$A$1,Grupos!I11,2*INDEX(Config!$W$14:$W$27,MATCH(D11,Config!$V$14:$V$27,0)))</f>
        <v>1</v>
      </c>
      <c r="H11" s="94">
        <f>IF(A11="G",ROUND((COUNTIF($D$6:D11,D11))/2,0),ROUND((COUNTIF($A$6:A11,A11)/INDEX(Config!$X$2:$AA$11,MATCH(A11,config_abreviaturas,0),1)),0))</f>
        <v>3</v>
      </c>
      <c r="I11" s="41">
        <f>COUNTIF($D$6:D11,D11)</f>
        <v>6</v>
      </c>
      <c r="J11" s="41">
        <f t="shared" si="3"/>
        <v>1</v>
      </c>
      <c r="K11" s="41">
        <f t="shared" si="4"/>
        <v>0.5</v>
      </c>
      <c r="O11" s="101" t="str">
        <f>IF(ISBLANK(INDEX(FaseGrupos!$N$5:$AA$53,MATCH(Grupos!$I11,FaseGrupos!$N$5:$N$53,0),Grupos!O$4)),"",INDEX(FaseGrupos!$N$5:$AA$53,MATCH(Grupos!$I11,FaseGrupos!$N$5:$N$53,0),Grupos!O$4))</f>
        <v/>
      </c>
      <c r="P11" s="101" t="str">
        <f ca="1">IF(ISBLANK(INDEX(FaseGrupos!$N$5:$AA$53,MATCH(Grupos!$I11,FaseGrupos!$N$5:$N$53,0),Grupos!P$4)),"",INDEX(FaseGrupos!$N$5:$AA$53,MATCH(Grupos!$I11,FaseGrupos!$N$5:$N$53,0),Grupos!P$4))</f>
        <v>España</v>
      </c>
      <c r="Q11" s="101">
        <f>IF(ISBLANK(INDEX(FaseGrupos!$N$5:$AA$53,MATCH(Grupos!$I11,FaseGrupos!$N$5:$N$53,0),Grupos!Q$4)),"",INDEX(FaseGrupos!$N$5:$AA$53,MATCH(Grupos!$I11,FaseGrupos!$N$5:$N$53,0),Grupos!Q$4))</f>
        <v>2</v>
      </c>
      <c r="R11" s="101">
        <f>IF(ISBLANK(INDEX(FaseGrupos!$N$5:$AA$53,MATCH(Grupos!$I11,FaseGrupos!$N$5:$N$53,0),Grupos!R$4)),"",INDEX(FaseGrupos!$N$5:$AA$53,MATCH(Grupos!$I11,FaseGrupos!$N$5:$N$53,0),Grupos!R$4))</f>
        <v>2</v>
      </c>
      <c r="S11" s="101" t="str">
        <f ca="1">IF(ISBLANK(INDEX(FaseGrupos!$N$5:$AA$53,MATCH(Grupos!$I11,FaseGrupos!$N$5:$N$53,0),Grupos!S$4)),"",INDEX(FaseGrupos!$N$5:$AA$53,MATCH(Grupos!$I11,FaseGrupos!$N$5:$N$53,0),Grupos!S$4))</f>
        <v>Marruecos</v>
      </c>
      <c r="T11" s="101" t="str">
        <f>IF(ISBLANK(INDEX(FaseGrupos!$N$5:$AA$53,MATCH(Grupos!$I11,FaseGrupos!$N$5:$N$53,0),Grupos!T$4)),"",INDEX(FaseGrupos!$N$5:$AA$53,MATCH(Grupos!$I11,FaseGrupos!$N$5:$N$53,0),Grupos!T$4))</f>
        <v/>
      </c>
      <c r="U11" s="101">
        <f>IF(ISBLANK(INDEX(FaseGrupos!$N$5:$AA$53,MATCH(Grupos!$I11,FaseGrupos!$N$5:$N$53,0),Grupos!U$4)),"",INDEX(FaseGrupos!$N$5:$AA$53,MATCH(Grupos!$I11,FaseGrupos!$N$5:$N$53,0),Grupos!U$4))</f>
        <v>0.5</v>
      </c>
      <c r="V11" s="101">
        <f t="shared" ca="1" si="5"/>
        <v>43276.833333333336</v>
      </c>
      <c r="W11" s="101">
        <f ca="1">V11+COUNTIF($V$6:V11,V11)+2*ROW()</f>
        <v>43300.833333333336</v>
      </c>
      <c r="X11" s="101">
        <f t="shared" ca="1" si="6"/>
        <v>1</v>
      </c>
      <c r="Y11" s="101" t="str">
        <f>IF(ISBLANK(INDEX(FaseGrupos!$N$5:$AA$53,MATCH(Grupos!$I11,FaseGrupos!$N$5:$N$53,0),Grupos!Y$4)),"",INDEX(FaseGrupos!$N$5:$AA$53,MATCH(Grupos!$I11,FaseGrupos!$N$5:$N$53,0),Grupos!Y$4))</f>
        <v/>
      </c>
      <c r="Z11" s="58" t="str">
        <f>IF(ISBLANK(INDEX(FaseGrupos!$N$5:$AA$53,MATCH(Grupos!$I11,FaseGrupos!$N$5:$N$53,0),Grupos!Z$4)),"",INDEX(FaseGrupos!$N$5:$AA$53,MATCH(Grupos!$I11,FaseGrupos!$N$5:$N$53,0),Grupos!Z$4))</f>
        <v>Estadio de Kaliningrado</v>
      </c>
      <c r="AA11" s="59">
        <f>IF(ISBLANK(INDEX(FaseGrupos!$N$5:$AA$53,MATCH(Grupos!$I11,FaseGrupos!$N$5:$N$53,0),Grupos!AA$4)),"",INDEX(FaseGrupos!$N$5:$AA$53,MATCH(Grupos!$I11,FaseGrupos!$N$5:$N$53,0),Grupos!AA$4))</f>
        <v>43276.833333333336</v>
      </c>
      <c r="AC11" s="42"/>
      <c r="AD11" s="150" t="str">
        <f ca="1">Traduccion!B57</f>
        <v>Promedio</v>
      </c>
      <c r="AE11" s="158"/>
      <c r="AF11" s="119">
        <f ca="1">AVERAGE(AF6:AF9)</f>
        <v>3.75</v>
      </c>
      <c r="AG11" s="119">
        <f t="shared" ref="AG11:AM11" ca="1" si="8">AVERAGE(AG6:AG9)</f>
        <v>3</v>
      </c>
      <c r="AH11" s="119">
        <f t="shared" ca="1" si="8"/>
        <v>0.75</v>
      </c>
      <c r="AI11" s="119">
        <f t="shared" ca="1" si="8"/>
        <v>1.5</v>
      </c>
      <c r="AJ11" s="119">
        <f t="shared" ca="1" si="8"/>
        <v>0.75</v>
      </c>
      <c r="AK11" s="119">
        <f t="shared" ca="1" si="8"/>
        <v>3.75</v>
      </c>
      <c r="AL11" s="119">
        <f t="shared" ca="1" si="8"/>
        <v>3.75</v>
      </c>
      <c r="AM11" s="119">
        <f t="shared" ca="1" si="8"/>
        <v>0</v>
      </c>
    </row>
    <row r="12" spans="1:39" x14ac:dyDescent="0.25">
      <c r="K12" s="41" t="str">
        <f t="shared" ref="K12:K16" si="9">IF(J12=0,"",(IF(Q12+O12&gt;R12+T12,1,IF(Q12+O12=R12+T12,0.5,0))))</f>
        <v/>
      </c>
      <c r="U12" s="41" t="str">
        <f t="shared" ref="U12:U16" si="10">IF(J12=0,"",(IF(Q12+O12&lt;R12+T12,1,IF(Q12+O12=R12+T12,0.5,0))))</f>
        <v/>
      </c>
    </row>
    <row r="13" spans="1:39" hidden="1" x14ac:dyDescent="0.25">
      <c r="K13" s="41" t="str">
        <f t="shared" si="9"/>
        <v/>
      </c>
      <c r="U13" s="41" t="str">
        <f t="shared" si="10"/>
        <v/>
      </c>
    </row>
    <row r="14" spans="1:39" hidden="1" x14ac:dyDescent="0.25">
      <c r="K14" s="41" t="str">
        <f t="shared" si="9"/>
        <v/>
      </c>
      <c r="U14" s="41" t="str">
        <f t="shared" si="10"/>
        <v/>
      </c>
    </row>
    <row r="15" spans="1:39" hidden="1" x14ac:dyDescent="0.25">
      <c r="K15" s="41" t="str">
        <f t="shared" si="9"/>
        <v/>
      </c>
      <c r="U15" s="41" t="str">
        <f t="shared" si="10"/>
        <v/>
      </c>
    </row>
    <row r="16" spans="1:39" hidden="1" x14ac:dyDescent="0.25">
      <c r="K16" s="41" t="str">
        <f t="shared" si="9"/>
        <v/>
      </c>
      <c r="U16" s="41" t="str">
        <f t="shared" si="10"/>
        <v/>
      </c>
    </row>
  </sheetData>
  <sheetProtection sheet="1" objects="1" scenarios="1"/>
  <mergeCells count="5">
    <mergeCell ref="AD5:AE5"/>
    <mergeCell ref="P5:S5"/>
    <mergeCell ref="AD11:AE11"/>
    <mergeCell ref="P3:AA3"/>
    <mergeCell ref="AC3:AM3"/>
  </mergeCells>
  <conditionalFormatting sqref="P6:P11">
    <cfRule type="expression" dxfId="10" priority="3">
      <formula>IF(K6=0,TRUE,FALSE)</formula>
    </cfRule>
    <cfRule type="expression" dxfId="9" priority="4">
      <formula>IF(K6=0.5,TRUE,FALSE)</formula>
    </cfRule>
    <cfRule type="expression" dxfId="8" priority="7">
      <formula>IF($P6&lt;&gt;"",TRUE,FALSE)</formula>
    </cfRule>
    <cfRule type="expression" dxfId="7" priority="9">
      <formula>IF(K6=1,TRUE,FALSE)</formula>
    </cfRule>
  </conditionalFormatting>
  <conditionalFormatting sqref="Q6:S11">
    <cfRule type="expression" dxfId="6" priority="11">
      <formula>IF($P6&lt;&gt;"",TRUE,FALSE)</formula>
    </cfRule>
  </conditionalFormatting>
  <conditionalFormatting sqref="Q6:R11">
    <cfRule type="expression" dxfId="5" priority="10">
      <formula>IF(ISBLANK(Q6),TRUE,FALSE)</formula>
    </cfRule>
  </conditionalFormatting>
  <conditionalFormatting sqref="S6:S11">
    <cfRule type="expression" dxfId="4" priority="5">
      <formula>IF(K6=0.5,TRUE,FALSE)</formula>
    </cfRule>
    <cfRule type="expression" dxfId="3" priority="6">
      <formula>IF(K6=1,TRUE,FALSE)</formula>
    </cfRule>
    <cfRule type="expression" dxfId="2" priority="8">
      <formula>IF(K6=0,TRUE,FALSE)</formula>
    </cfRule>
  </conditionalFormatting>
  <conditionalFormatting sqref="Z6:AA6 Z9:AA9">
    <cfRule type="expression" dxfId="1" priority="2">
      <formula>IF($P6&lt;&gt;"",TRUE,FALSE)</formula>
    </cfRule>
  </conditionalFormatting>
  <conditionalFormatting sqref="Z7:AA8 Z10:AA11">
    <cfRule type="expression" dxfId="0" priority="1">
      <formula>IF($P7&lt;&gt;"",TRUE,FALSE)</formula>
    </cfRule>
  </conditionalFormatting>
  <dataValidations count="1">
    <dataValidation type="list" allowBlank="1" showInputMessage="1" showErrorMessage="1" sqref="P3">
      <formula1>nombres_grupos</formula1>
    </dataValidation>
  </dataValidations>
  <pageMargins left="0.7" right="0.7" top="0.75" bottom="0.75" header="0.3" footer="0.3"/>
  <pageSetup paperSize="9"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BC30"/>
  <sheetViews>
    <sheetView showGridLines="0" showRowColHeaders="0" workbookViewId="0">
      <selection activeCell="D12" sqref="D12:M12"/>
    </sheetView>
  </sheetViews>
  <sheetFormatPr baseColWidth="10" defaultColWidth="0" defaultRowHeight="15" zeroHeight="1" x14ac:dyDescent="0.25"/>
  <cols>
    <col min="1" max="1" width="3.28515625" customWidth="1"/>
    <col min="2" max="2" width="13.28515625" customWidth="1"/>
    <col min="3" max="3" width="8.140625" customWidth="1"/>
    <col min="4" max="12" width="11.42578125" customWidth="1"/>
    <col min="13" max="13" width="6.28515625" customWidth="1"/>
    <col min="14" max="14" width="3.28515625" customWidth="1"/>
    <col min="15" max="16384" width="11.42578125" hidden="1"/>
  </cols>
  <sheetData>
    <row r="1" spans="2:55" ht="109.5" customHeight="1" x14ac:dyDescent="0.25"/>
    <row r="2" spans="2:55" ht="7.5" customHeight="1" x14ac:dyDescent="0.25"/>
    <row r="3" spans="2:55" ht="23.25" x14ac:dyDescent="0.35">
      <c r="B3" s="22" t="str">
        <f ca="1">Traduccion!B23</f>
        <v>Versión</v>
      </c>
      <c r="C3" s="22"/>
    </row>
    <row r="4" spans="2:55" ht="15.75" x14ac:dyDescent="0.25">
      <c r="B4" s="7" t="s">
        <v>241</v>
      </c>
      <c r="C4" s="7"/>
      <c r="D4" s="7"/>
      <c r="E4" s="7"/>
      <c r="F4" s="7"/>
      <c r="G4" s="7"/>
      <c r="H4" s="7"/>
      <c r="I4" s="7"/>
      <c r="J4" s="7"/>
      <c r="K4" s="7"/>
      <c r="L4" s="7"/>
      <c r="M4" s="7"/>
    </row>
    <row r="5" spans="2:55" ht="15.75" x14ac:dyDescent="0.25">
      <c r="B5" s="7"/>
      <c r="C5" s="7"/>
      <c r="D5" s="7"/>
      <c r="E5" s="7"/>
      <c r="F5" s="7"/>
      <c r="G5" s="7"/>
      <c r="H5" s="7"/>
      <c r="I5" s="7"/>
      <c r="J5" s="7"/>
      <c r="K5" s="7"/>
      <c r="L5" s="7"/>
      <c r="M5" s="7"/>
    </row>
    <row r="6" spans="2:55" ht="15.75" x14ac:dyDescent="0.25">
      <c r="B6" s="34" t="str">
        <f ca="1">Traduccion!B23 &amp; " 1.0.0 - " &amp; "06/07/2018"</f>
        <v>Versión 1.0.0 - 06/07/2018</v>
      </c>
      <c r="C6" s="34"/>
      <c r="D6" s="7"/>
      <c r="E6" s="7"/>
      <c r="F6" s="7"/>
      <c r="G6" s="7"/>
      <c r="H6" s="7"/>
      <c r="I6" s="7"/>
      <c r="J6" s="7"/>
      <c r="K6" s="7"/>
      <c r="L6" s="7"/>
      <c r="M6" s="7"/>
    </row>
    <row r="7" spans="2:55" ht="46.5" customHeight="1" x14ac:dyDescent="0.25">
      <c r="B7" s="173" t="str">
        <f ca="1">Traduccion!B18 &amp; ":"</f>
        <v>Fase de Grupos:</v>
      </c>
      <c r="C7" s="173"/>
      <c r="D7" s="171" t="str">
        <f ca="1">Traduccion!B26</f>
        <v>Hoja en la que se presentan todos los emparejamientos de la primera fase, ordenados cronológicamente, en forma de calendario. En función del resultado del partido, las selecciones contrincantes adquirirán distintos colores. En ella deben introducirse los resultados. Incluye la clasificación de todos los grupos.</v>
      </c>
      <c r="E7" s="171"/>
      <c r="F7" s="171"/>
      <c r="G7" s="171"/>
      <c r="H7" s="171"/>
      <c r="I7" s="171"/>
      <c r="J7" s="171"/>
      <c r="K7" s="171"/>
      <c r="L7" s="171"/>
      <c r="M7" s="171"/>
    </row>
    <row r="8" spans="2:55" ht="32.25" customHeight="1" x14ac:dyDescent="0.25">
      <c r="B8" s="173" t="str">
        <f ca="1">Traduccion!B19 &amp; ":"</f>
        <v>Fase Final:</v>
      </c>
      <c r="C8" s="173"/>
      <c r="D8" s="171" t="str">
        <f ca="1">Traduccion!B27</f>
        <v>Hoja con un calendario de los partidos de las eliminatorias, en el que introducir los resultados. Los equipos se marcan con colores en función del resultado. Posee además, un cuadro resumen de las eliminatorias.</v>
      </c>
      <c r="E8" s="171"/>
      <c r="F8" s="171"/>
      <c r="G8" s="171"/>
      <c r="H8" s="171"/>
      <c r="I8" s="171"/>
      <c r="J8" s="171"/>
      <c r="K8" s="171"/>
      <c r="L8" s="171"/>
      <c r="M8" s="171"/>
    </row>
    <row r="9" spans="2:55" ht="31.5" customHeight="1" x14ac:dyDescent="0.25">
      <c r="B9" s="173" t="str">
        <f ca="1">Traduccion!B20 &amp; ":"</f>
        <v>Selección a Selección:</v>
      </c>
      <c r="C9" s="173"/>
      <c r="D9" s="171" t="str">
        <f ca="1">Traduccion!B28</f>
        <v>Visión general del paso por el Mundial de cada selección: sus partidos, los estadios en los que ha jugado…Se aportan además datos como el seleccionador o el mejor resultado obtenido por dicha nación.</v>
      </c>
      <c r="E9" s="171"/>
      <c r="F9" s="171"/>
      <c r="G9" s="171"/>
      <c r="H9" s="171"/>
      <c r="I9" s="171"/>
      <c r="J9" s="171"/>
      <c r="K9" s="171"/>
      <c r="L9" s="171"/>
      <c r="M9" s="171"/>
    </row>
    <row r="10" spans="2:55" ht="31.5" customHeight="1" x14ac:dyDescent="0.25">
      <c r="B10" s="173" t="str">
        <f ca="1">Traduccion!B21 &amp; ":"</f>
        <v>Sedes:</v>
      </c>
      <c r="C10" s="173"/>
      <c r="D10" s="171" t="str">
        <f ca="1">Traduccion!B29</f>
        <v>Presentación individual de los distintos estadios en los que se desarrolla el torneo, especificando sus características (aforo, foto, año de construcción…) y los partidos que albergan.</v>
      </c>
      <c r="E10" s="171"/>
      <c r="F10" s="171"/>
      <c r="G10" s="171"/>
      <c r="H10" s="171"/>
      <c r="I10" s="171"/>
      <c r="J10" s="171"/>
      <c r="K10" s="171"/>
      <c r="L10" s="171"/>
      <c r="M10" s="171"/>
    </row>
    <row r="11" spans="2:55" ht="15.75" customHeight="1" x14ac:dyDescent="0.25">
      <c r="B11" s="173" t="str">
        <f ca="1">Traduccion!B22 &amp; ":"</f>
        <v>Grupos:</v>
      </c>
      <c r="C11" s="173"/>
      <c r="D11" s="171" t="str">
        <f ca="1">Traduccion!B30</f>
        <v>Hoja con los partidos y clasificación de cada grupo de manera individual.</v>
      </c>
      <c r="E11" s="171"/>
      <c r="F11" s="171"/>
      <c r="G11" s="171"/>
      <c r="H11" s="171"/>
      <c r="I11" s="171"/>
      <c r="J11" s="171"/>
      <c r="K11" s="171"/>
      <c r="L11" s="171"/>
      <c r="M11" s="171"/>
    </row>
    <row r="12" spans="2:55" ht="31.5" customHeight="1" x14ac:dyDescent="0.25">
      <c r="B12" s="173" t="str">
        <f ca="1">Traduccion!B25</f>
        <v>Otros</v>
      </c>
      <c r="C12" s="173"/>
      <c r="D12" s="171" t="str">
        <f ca="1">Traduccion!B31</f>
        <v>Deducción/adición manual de puntos por juego limpio o causas organizativas, 3 idiomas, configuración horaria, histórico de versiones y licencia Creative Commons</v>
      </c>
      <c r="E12" s="171"/>
      <c r="F12" s="171"/>
      <c r="G12" s="171"/>
      <c r="H12" s="171"/>
      <c r="I12" s="171"/>
      <c r="J12" s="171"/>
      <c r="K12" s="171"/>
      <c r="L12" s="171"/>
      <c r="M12" s="171"/>
    </row>
    <row r="13" spans="2:55" ht="15.75" x14ac:dyDescent="0.25">
      <c r="B13" s="7"/>
      <c r="C13" s="7"/>
      <c r="D13" s="7"/>
      <c r="E13" s="7"/>
      <c r="F13" s="7"/>
      <c r="G13" s="7"/>
      <c r="H13" s="7"/>
      <c r="I13" s="7"/>
      <c r="J13" s="7"/>
      <c r="K13" s="7"/>
      <c r="L13" s="7"/>
      <c r="M13" s="7"/>
    </row>
    <row r="14" spans="2:55" ht="15" customHeight="1" x14ac:dyDescent="0.25">
      <c r="C14" s="172" t="str">
        <f ca="1">Traduccion!B63</f>
        <v>Puedes modificar, copiar y compartir esta hoja siempre que me la atribuyas, lo hagas gratuitamente y bajo esta licencia (Creative Commons Reconocimiento-NoComercial-CompartirIgual 4.0 Unported).</v>
      </c>
      <c r="D14" s="172"/>
      <c r="E14" s="172"/>
      <c r="F14" s="172"/>
      <c r="G14" s="172"/>
      <c r="H14" s="172"/>
      <c r="I14" s="172"/>
      <c r="J14" s="172"/>
      <c r="K14" s="172"/>
      <c r="L14" s="172"/>
      <c r="M14" s="172"/>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row>
    <row r="15" spans="2:55" x14ac:dyDescent="0.25">
      <c r="C15" s="172"/>
      <c r="D15" s="172"/>
      <c r="E15" s="172"/>
      <c r="F15" s="172"/>
      <c r="G15" s="172"/>
      <c r="H15" s="172"/>
      <c r="I15" s="172"/>
      <c r="J15" s="172"/>
      <c r="K15" s="172"/>
      <c r="L15" s="172"/>
      <c r="M15" s="172"/>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row>
    <row r="16" spans="2:55" ht="15.75" x14ac:dyDescent="0.25">
      <c r="B16" s="7"/>
      <c r="C16" s="7"/>
      <c r="D16" s="7"/>
      <c r="E16" s="7"/>
      <c r="F16" s="7"/>
      <c r="G16" s="7"/>
      <c r="H16" s="7"/>
      <c r="I16" s="7"/>
      <c r="J16" s="7"/>
      <c r="K16" s="7"/>
      <c r="L16" s="7"/>
      <c r="M16" s="7"/>
    </row>
    <row r="17" spans="2:13" ht="15.75" hidden="1" x14ac:dyDescent="0.25">
      <c r="B17" s="7"/>
      <c r="C17" s="7"/>
      <c r="D17" s="7"/>
      <c r="E17" s="7"/>
      <c r="F17" s="7"/>
      <c r="G17" s="7"/>
      <c r="H17" s="7"/>
      <c r="I17" s="7"/>
      <c r="J17" s="7"/>
      <c r="K17" s="7"/>
      <c r="L17" s="7"/>
      <c r="M17" s="7"/>
    </row>
    <row r="18" spans="2:13" ht="15.75" hidden="1" x14ac:dyDescent="0.25">
      <c r="B18" s="7"/>
      <c r="C18" s="7"/>
      <c r="D18" s="7"/>
      <c r="E18" s="7"/>
      <c r="F18" s="7"/>
      <c r="G18" s="7"/>
      <c r="H18" s="7"/>
      <c r="I18" s="7"/>
      <c r="J18" s="7"/>
      <c r="K18" s="7"/>
      <c r="L18" s="7"/>
      <c r="M18" s="7"/>
    </row>
    <row r="19" spans="2:13" ht="15.75" hidden="1" x14ac:dyDescent="0.25">
      <c r="B19" s="7"/>
      <c r="C19" s="7"/>
      <c r="D19" s="7"/>
      <c r="E19" s="7"/>
      <c r="F19" s="7"/>
      <c r="G19" s="7"/>
      <c r="H19" s="7"/>
      <c r="I19" s="7"/>
      <c r="J19" s="7"/>
      <c r="K19" s="7"/>
      <c r="L19" s="7"/>
      <c r="M19" s="7"/>
    </row>
    <row r="20" spans="2:13" ht="15.75" hidden="1" x14ac:dyDescent="0.25">
      <c r="B20" s="7"/>
      <c r="C20" s="7"/>
      <c r="D20" s="7"/>
      <c r="E20" s="7"/>
      <c r="F20" s="7"/>
      <c r="G20" s="7"/>
      <c r="H20" s="7"/>
      <c r="I20" s="7"/>
      <c r="J20" s="7"/>
      <c r="K20" s="7"/>
      <c r="L20" s="7"/>
      <c r="M20" s="7"/>
    </row>
    <row r="21" spans="2:13" ht="15.75" hidden="1" x14ac:dyDescent="0.25">
      <c r="B21" s="7"/>
      <c r="C21" s="7"/>
      <c r="D21" s="7"/>
      <c r="E21" s="7"/>
      <c r="F21" s="7"/>
      <c r="G21" s="7"/>
      <c r="H21" s="7"/>
      <c r="I21" s="7"/>
      <c r="J21" s="7"/>
      <c r="K21" s="7"/>
      <c r="L21" s="7"/>
      <c r="M21" s="7"/>
    </row>
    <row r="22" spans="2:13" ht="15.75" hidden="1" x14ac:dyDescent="0.25">
      <c r="B22" s="7"/>
      <c r="C22" s="7"/>
      <c r="D22" s="7"/>
      <c r="E22" s="7"/>
      <c r="F22" s="7"/>
      <c r="G22" s="7"/>
      <c r="H22" s="7"/>
      <c r="I22" s="7"/>
      <c r="J22" s="7"/>
      <c r="K22" s="7"/>
      <c r="L22" s="7"/>
      <c r="M22" s="7"/>
    </row>
    <row r="23" spans="2:13" ht="15.75" hidden="1" x14ac:dyDescent="0.25">
      <c r="B23" s="7"/>
      <c r="C23" s="7"/>
      <c r="D23" s="7"/>
      <c r="E23" s="7"/>
      <c r="F23" s="7"/>
      <c r="G23" s="7"/>
      <c r="H23" s="7"/>
      <c r="I23" s="7"/>
      <c r="J23" s="7"/>
      <c r="K23" s="7"/>
      <c r="L23" s="7"/>
      <c r="M23" s="7"/>
    </row>
    <row r="24" spans="2:13" ht="15.75" hidden="1" x14ac:dyDescent="0.25">
      <c r="B24" s="7"/>
      <c r="C24" s="7"/>
      <c r="D24" s="7"/>
      <c r="E24" s="7"/>
      <c r="F24" s="7"/>
      <c r="G24" s="7"/>
      <c r="H24" s="7"/>
      <c r="I24" s="7"/>
      <c r="J24" s="7"/>
      <c r="K24" s="7"/>
      <c r="L24" s="7"/>
      <c r="M24" s="7"/>
    </row>
    <row r="25" spans="2:13" ht="15.75" hidden="1" x14ac:dyDescent="0.25">
      <c r="B25" s="7"/>
      <c r="C25" s="7"/>
      <c r="D25" s="7"/>
      <c r="E25" s="7"/>
      <c r="F25" s="7"/>
      <c r="G25" s="7"/>
      <c r="H25" s="7"/>
      <c r="I25" s="7"/>
      <c r="J25" s="7"/>
      <c r="K25" s="7"/>
      <c r="L25" s="7"/>
      <c r="M25" s="7"/>
    </row>
    <row r="26" spans="2:13" ht="15.75" hidden="1" x14ac:dyDescent="0.25">
      <c r="B26" s="7"/>
      <c r="C26" s="7"/>
      <c r="D26" s="7"/>
      <c r="E26" s="7"/>
      <c r="F26" s="7"/>
      <c r="G26" s="7"/>
      <c r="H26" s="7"/>
      <c r="I26" s="7"/>
      <c r="J26" s="7"/>
      <c r="K26" s="7"/>
      <c r="L26" s="7"/>
      <c r="M26" s="7"/>
    </row>
    <row r="27" spans="2:13" ht="15.75" hidden="1" x14ac:dyDescent="0.25">
      <c r="B27" s="7"/>
      <c r="C27" s="7"/>
      <c r="D27" s="7"/>
      <c r="E27" s="7"/>
      <c r="F27" s="7"/>
      <c r="G27" s="7"/>
      <c r="H27" s="7"/>
      <c r="I27" s="7"/>
      <c r="J27" s="7"/>
      <c r="K27" s="7"/>
      <c r="L27" s="7"/>
      <c r="M27" s="7"/>
    </row>
    <row r="28" spans="2:13" hidden="1" x14ac:dyDescent="0.25"/>
    <row r="29" spans="2:13" hidden="1" x14ac:dyDescent="0.25"/>
    <row r="30" spans="2:13" x14ac:dyDescent="0.25"/>
  </sheetData>
  <sheetProtection sheet="1" objects="1" scenarios="1"/>
  <mergeCells count="13">
    <mergeCell ref="D12:M12"/>
    <mergeCell ref="C14:M15"/>
    <mergeCell ref="B7:C7"/>
    <mergeCell ref="B8:C8"/>
    <mergeCell ref="B9:C9"/>
    <mergeCell ref="B10:C10"/>
    <mergeCell ref="B11:C11"/>
    <mergeCell ref="B12:C12"/>
    <mergeCell ref="D7:M7"/>
    <mergeCell ref="D8:M8"/>
    <mergeCell ref="D9:M9"/>
    <mergeCell ref="D10:M10"/>
    <mergeCell ref="D11:M1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G96"/>
  <sheetViews>
    <sheetView showGridLines="0" showRowColHeaders="0" workbookViewId="0">
      <selection activeCell="B3" sqref="B3"/>
    </sheetView>
  </sheetViews>
  <sheetFormatPr baseColWidth="10" defaultColWidth="0" defaultRowHeight="15" zeroHeight="1" x14ac:dyDescent="0.25"/>
  <cols>
    <col min="1" max="1" width="3.28515625" style="109" customWidth="1"/>
    <col min="2" max="5" width="35.7109375" style="109" customWidth="1"/>
    <col min="6" max="6" width="35.5703125" style="109" customWidth="1"/>
    <col min="7" max="7" width="3.28515625" style="109" customWidth="1"/>
    <col min="8" max="16384" width="11.42578125" style="109" hidden="1"/>
  </cols>
  <sheetData>
    <row r="1" spans="2:6" ht="109.5" customHeight="1" x14ac:dyDescent="0.25"/>
    <row r="2" spans="2:6" ht="7.5" customHeight="1" x14ac:dyDescent="0.25"/>
    <row r="3" spans="2:6" ht="18.75" x14ac:dyDescent="0.25">
      <c r="B3" s="110">
        <f>MATCH(Portada!B20,Traduccion!$C$3:$F$3)</f>
        <v>1</v>
      </c>
      <c r="C3" s="107" t="s">
        <v>1</v>
      </c>
      <c r="D3" s="107" t="s">
        <v>249</v>
      </c>
      <c r="E3" s="107" t="s">
        <v>250</v>
      </c>
      <c r="F3" s="107" t="s">
        <v>392</v>
      </c>
    </row>
    <row r="4" spans="2:6" x14ac:dyDescent="0.25">
      <c r="B4" s="111" t="str">
        <f ca="1">OFFSET($B$3,ROW()-ROW($B$3),$B$3)</f>
        <v>Copa del Mundo - Rusia 2018</v>
      </c>
      <c r="C4" s="108" t="s">
        <v>236</v>
      </c>
      <c r="D4" s="108" t="s">
        <v>251</v>
      </c>
      <c r="E4" s="108" t="s">
        <v>311</v>
      </c>
      <c r="F4" s="112"/>
    </row>
    <row r="5" spans="2:6" x14ac:dyDescent="0.25">
      <c r="B5" s="111" t="str">
        <f t="shared" ref="B5:B7" ca="1" si="0">OFFSET($B$3,ROW()-ROW($B$3),$B$3)</f>
        <v>Idioma</v>
      </c>
      <c r="C5" s="108" t="s">
        <v>410</v>
      </c>
      <c r="D5" s="108" t="s">
        <v>412</v>
      </c>
      <c r="E5" s="108" t="s">
        <v>411</v>
      </c>
      <c r="F5" s="112"/>
    </row>
    <row r="6" spans="2:6" x14ac:dyDescent="0.25">
      <c r="B6" s="111" t="str">
        <f t="shared" ca="1" si="0"/>
        <v>Zona horaria</v>
      </c>
      <c r="C6" s="108" t="s">
        <v>409</v>
      </c>
      <c r="D6" s="108" t="s">
        <v>413</v>
      </c>
      <c r="E6" s="108" t="s">
        <v>414</v>
      </c>
      <c r="F6" s="112"/>
    </row>
    <row r="7" spans="2:6" x14ac:dyDescent="0.25">
      <c r="B7" s="111" t="str">
        <f t="shared" ca="1" si="0"/>
        <v>Configurar idioma…</v>
      </c>
      <c r="C7" s="108" t="s">
        <v>504</v>
      </c>
      <c r="D7" s="108" t="s">
        <v>505</v>
      </c>
      <c r="E7" s="108" t="s">
        <v>506</v>
      </c>
      <c r="F7" s="112"/>
    </row>
    <row r="8" spans="2:6" ht="17.25" x14ac:dyDescent="0.25">
      <c r="B8" s="111" t="str">
        <f t="shared" ref="B8:B87" ca="1" si="1">OFFSET($B$3,ROW()-ROW($B$3),$B$3)</f>
        <v>º del grupo</v>
      </c>
      <c r="C8" s="108" t="s">
        <v>2</v>
      </c>
      <c r="D8" s="108" t="s">
        <v>252</v>
      </c>
      <c r="E8" s="108" t="s">
        <v>316</v>
      </c>
      <c r="F8" s="112"/>
    </row>
    <row r="9" spans="2:6" x14ac:dyDescent="0.25">
      <c r="B9" s="111" t="str">
        <f t="shared" ca="1" si="1"/>
        <v>Grupo</v>
      </c>
      <c r="C9" s="108" t="s">
        <v>36</v>
      </c>
      <c r="D9" s="108" t="s">
        <v>253</v>
      </c>
      <c r="E9" s="108" t="s">
        <v>253</v>
      </c>
      <c r="F9" s="112"/>
    </row>
    <row r="10" spans="2:6" x14ac:dyDescent="0.25">
      <c r="B10" s="111" t="str">
        <f t="shared" ca="1" si="1"/>
        <v>Selección</v>
      </c>
      <c r="C10" s="108" t="s">
        <v>81</v>
      </c>
      <c r="D10" s="108" t="s">
        <v>254</v>
      </c>
      <c r="E10" s="108" t="s">
        <v>255</v>
      </c>
      <c r="F10" s="112"/>
    </row>
    <row r="11" spans="2:6" x14ac:dyDescent="0.25">
      <c r="B11" s="111" t="str">
        <f t="shared" ca="1" si="1"/>
        <v>Juego Limpio</v>
      </c>
      <c r="C11" s="108" t="s">
        <v>227</v>
      </c>
      <c r="D11" s="108" t="s">
        <v>256</v>
      </c>
      <c r="E11" s="108" t="s">
        <v>82</v>
      </c>
      <c r="F11" s="112"/>
    </row>
    <row r="12" spans="2:6" x14ac:dyDescent="0.25">
      <c r="B12" s="111" t="str">
        <f t="shared" ca="1" si="1"/>
        <v>Instrucciones</v>
      </c>
      <c r="C12" s="108" t="s">
        <v>228</v>
      </c>
      <c r="D12" s="108" t="s">
        <v>257</v>
      </c>
      <c r="E12" s="108" t="s">
        <v>257</v>
      </c>
      <c r="F12" s="112"/>
    </row>
    <row r="13" spans="2:6" x14ac:dyDescent="0.25">
      <c r="B13" s="111" t="str">
        <f t="shared" ca="1" si="1"/>
        <v>Partido</v>
      </c>
      <c r="C13" s="108" t="s">
        <v>53</v>
      </c>
      <c r="D13" s="108" t="s">
        <v>258</v>
      </c>
      <c r="E13" s="108" t="s">
        <v>258</v>
      </c>
      <c r="F13" s="112"/>
    </row>
    <row r="14" spans="2:6" x14ac:dyDescent="0.25">
      <c r="B14" s="111" t="str">
        <f t="shared" ca="1" si="1"/>
        <v>Estadio</v>
      </c>
      <c r="C14" s="108" t="s">
        <v>56</v>
      </c>
      <c r="D14" s="108" t="s">
        <v>259</v>
      </c>
      <c r="E14" s="108" t="s">
        <v>317</v>
      </c>
      <c r="F14" s="112"/>
    </row>
    <row r="15" spans="2:6" x14ac:dyDescent="0.25">
      <c r="B15" s="111" t="str">
        <f t="shared" ca="1" si="1"/>
        <v>Horario</v>
      </c>
      <c r="C15" s="108" t="s">
        <v>57</v>
      </c>
      <c r="D15" s="108" t="s">
        <v>260</v>
      </c>
      <c r="E15" s="108" t="s">
        <v>318</v>
      </c>
      <c r="F15" s="112"/>
    </row>
    <row r="16" spans="2:6" x14ac:dyDescent="0.25">
      <c r="B16" s="111" t="str">
        <f t="shared" ca="1" si="1"/>
        <v>Ronda</v>
      </c>
      <c r="C16" s="108" t="s">
        <v>214</v>
      </c>
      <c r="D16" s="108" t="s">
        <v>391</v>
      </c>
      <c r="E16" s="108" t="s">
        <v>319</v>
      </c>
      <c r="F16" s="112"/>
    </row>
    <row r="17" spans="2:6" x14ac:dyDescent="0.25">
      <c r="B17" s="111" t="str">
        <f t="shared" ca="1" si="1"/>
        <v>Cuadro de honor</v>
      </c>
      <c r="C17" s="108" t="s">
        <v>169</v>
      </c>
      <c r="D17" s="108" t="s">
        <v>321</v>
      </c>
      <c r="E17" s="108" t="s">
        <v>320</v>
      </c>
      <c r="F17" s="112"/>
    </row>
    <row r="18" spans="2:6" x14ac:dyDescent="0.25">
      <c r="B18" s="111" t="str">
        <f t="shared" ca="1" si="1"/>
        <v>Fase de Grupos</v>
      </c>
      <c r="C18" s="108" t="s">
        <v>130</v>
      </c>
      <c r="D18" s="108" t="s">
        <v>360</v>
      </c>
      <c r="E18" s="108" t="s">
        <v>322</v>
      </c>
      <c r="F18" s="112"/>
    </row>
    <row r="19" spans="2:6" x14ac:dyDescent="0.25">
      <c r="B19" s="111" t="str">
        <f t="shared" ca="1" si="1"/>
        <v>Fase Final</v>
      </c>
      <c r="C19" s="108" t="s">
        <v>167</v>
      </c>
      <c r="D19" s="108" t="s">
        <v>361</v>
      </c>
      <c r="E19" s="108" t="s">
        <v>357</v>
      </c>
      <c r="F19" s="112"/>
    </row>
    <row r="20" spans="2:6" x14ac:dyDescent="0.25">
      <c r="B20" s="111" t="str">
        <f ca="1">OFFSET($B$3,ROW()-ROW($B$3),$B$3)</f>
        <v>Selección a Selección</v>
      </c>
      <c r="C20" s="108" t="s">
        <v>215</v>
      </c>
      <c r="D20" s="108" t="s">
        <v>261</v>
      </c>
      <c r="E20" s="108" t="s">
        <v>323</v>
      </c>
      <c r="F20" s="112"/>
    </row>
    <row r="21" spans="2:6" x14ac:dyDescent="0.25">
      <c r="B21" s="111" t="str">
        <f t="shared" ca="1" si="1"/>
        <v>Sedes</v>
      </c>
      <c r="C21" s="108" t="s">
        <v>216</v>
      </c>
      <c r="D21" s="108" t="s">
        <v>379</v>
      </c>
      <c r="E21" s="108" t="s">
        <v>262</v>
      </c>
      <c r="F21" s="112"/>
    </row>
    <row r="22" spans="2:6" x14ac:dyDescent="0.25">
      <c r="B22" s="111" t="str">
        <f t="shared" ca="1" si="1"/>
        <v>Grupos</v>
      </c>
      <c r="C22" s="108" t="s">
        <v>63</v>
      </c>
      <c r="D22" s="108" t="s">
        <v>263</v>
      </c>
      <c r="E22" s="108" t="s">
        <v>324</v>
      </c>
      <c r="F22" s="112"/>
    </row>
    <row r="23" spans="2:6" x14ac:dyDescent="0.25">
      <c r="B23" s="111" t="str">
        <f t="shared" ca="1" si="1"/>
        <v>Versión</v>
      </c>
      <c r="C23" s="108" t="s">
        <v>242</v>
      </c>
      <c r="D23" s="108" t="s">
        <v>264</v>
      </c>
      <c r="E23" s="108" t="s">
        <v>264</v>
      </c>
      <c r="F23" s="112"/>
    </row>
    <row r="24" spans="2:6" x14ac:dyDescent="0.25">
      <c r="B24" s="111" t="str">
        <f t="shared" ca="1" si="1"/>
        <v>Licencia</v>
      </c>
      <c r="C24" s="108" t="s">
        <v>237</v>
      </c>
      <c r="D24" s="108" t="s">
        <v>265</v>
      </c>
      <c r="E24" s="108" t="s">
        <v>265</v>
      </c>
      <c r="F24" s="112"/>
    </row>
    <row r="25" spans="2:6" x14ac:dyDescent="0.25">
      <c r="B25" s="111" t="str">
        <f t="shared" ca="1" si="1"/>
        <v>Otros</v>
      </c>
      <c r="C25" s="108" t="s">
        <v>245</v>
      </c>
      <c r="D25" s="108" t="s">
        <v>266</v>
      </c>
      <c r="E25" s="108" t="s">
        <v>325</v>
      </c>
      <c r="F25" s="112"/>
    </row>
    <row r="26" spans="2:6" ht="135" x14ac:dyDescent="0.25">
      <c r="B26" s="111" t="str">
        <f t="shared" ca="1" si="1"/>
        <v>Hoja en la que se presentan todos los emparejamientos de la primera fase, ordenados cronológicamente, en forma de calendario. En función del resultado del partido, las selecciones contrincantes adquirirán distintos colores. En ella deben introducirse los resultados. Incluye la clasificación de todos los grupos.</v>
      </c>
      <c r="C26" s="108" t="s">
        <v>244</v>
      </c>
      <c r="D26" s="108" t="s">
        <v>394</v>
      </c>
      <c r="E26" s="108" t="s">
        <v>398</v>
      </c>
      <c r="F26" s="112" t="s">
        <v>403</v>
      </c>
    </row>
    <row r="27" spans="2:6" ht="90" x14ac:dyDescent="0.25">
      <c r="B27" s="111" t="str">
        <f t="shared" ca="1" si="1"/>
        <v>Hoja con un calendario de los partidos de las eliminatorias, en el que introducir los resultados. Los equipos se marcan con colores en función del resultado. Posee además, un cuadro resumen de las eliminatorias.</v>
      </c>
      <c r="C27" s="108" t="s">
        <v>246</v>
      </c>
      <c r="D27" s="108" t="s">
        <v>395</v>
      </c>
      <c r="E27" s="108" t="s">
        <v>399</v>
      </c>
      <c r="F27" s="112" t="s">
        <v>403</v>
      </c>
    </row>
    <row r="28" spans="2:6" ht="105" x14ac:dyDescent="0.25">
      <c r="B28" s="111" t="str">
        <f t="shared" ca="1" si="1"/>
        <v>Visión general del paso por el Mundial de cada selección: sus partidos, los estadios en los que ha jugado…Se aportan además datos como el seleccionador o el mejor resultado obtenido por dicha nación.</v>
      </c>
      <c r="C28" s="108" t="s">
        <v>247</v>
      </c>
      <c r="D28" s="108" t="s">
        <v>500</v>
      </c>
      <c r="E28" s="108" t="s">
        <v>400</v>
      </c>
      <c r="F28" s="112" t="s">
        <v>403</v>
      </c>
    </row>
    <row r="29" spans="2:6" ht="90" x14ac:dyDescent="0.25">
      <c r="B29" s="111" t="str">
        <f t="shared" ca="1" si="1"/>
        <v>Presentación individual de los distintos estadios en los que se desarrolla el torneo, especificando sus características (aforo, foto, año de construcción…) y los partidos que albergan.</v>
      </c>
      <c r="C29" s="108" t="s">
        <v>393</v>
      </c>
      <c r="D29" s="108" t="s">
        <v>396</v>
      </c>
      <c r="E29" s="108" t="s">
        <v>401</v>
      </c>
      <c r="F29" s="112" t="s">
        <v>403</v>
      </c>
    </row>
    <row r="30" spans="2:6" ht="45" x14ac:dyDescent="0.25">
      <c r="B30" s="111" t="str">
        <f t="shared" ca="1" si="1"/>
        <v>Hoja con los partidos y clasificación de cada grupo de manera individual.</v>
      </c>
      <c r="C30" s="108" t="s">
        <v>248</v>
      </c>
      <c r="D30" s="108" t="s">
        <v>397</v>
      </c>
      <c r="E30" s="108" t="s">
        <v>402</v>
      </c>
      <c r="F30" s="112" t="s">
        <v>403</v>
      </c>
    </row>
    <row r="31" spans="2:6" ht="75" x14ac:dyDescent="0.25">
      <c r="B31" s="111" t="str">
        <f t="shared" ca="1" si="1"/>
        <v>Deducción/adición manual de puntos por juego limpio o causas organizativas, 3 idiomas, configuración horaria, histórico de versiones y licencia Creative Commons</v>
      </c>
      <c r="C31" s="108" t="s">
        <v>404</v>
      </c>
      <c r="D31" s="108" t="s">
        <v>405</v>
      </c>
      <c r="E31" s="108" t="s">
        <v>415</v>
      </c>
      <c r="F31" s="112" t="s">
        <v>403</v>
      </c>
    </row>
    <row r="32" spans="2:6" x14ac:dyDescent="0.25">
      <c r="B32" s="111" t="str">
        <f t="shared" ca="1" si="1"/>
        <v>Seleccionador</v>
      </c>
      <c r="C32" s="108" t="s">
        <v>170</v>
      </c>
      <c r="D32" s="108" t="s">
        <v>315</v>
      </c>
      <c r="E32" s="108" t="s">
        <v>326</v>
      </c>
      <c r="F32" s="112"/>
    </row>
    <row r="33" spans="2:6" x14ac:dyDescent="0.25">
      <c r="B33" s="111" t="str">
        <f t="shared" ca="1" si="1"/>
        <v>Participaciones</v>
      </c>
      <c r="C33" s="108" t="s">
        <v>171</v>
      </c>
      <c r="D33" s="108" t="s">
        <v>312</v>
      </c>
      <c r="E33" s="108"/>
      <c r="F33" s="112"/>
    </row>
    <row r="34" spans="2:6" x14ac:dyDescent="0.25">
      <c r="B34" s="111" t="str">
        <f t="shared" ca="1" si="1"/>
        <v>Títulos</v>
      </c>
      <c r="C34" s="108" t="s">
        <v>172</v>
      </c>
      <c r="D34" s="108" t="s">
        <v>314</v>
      </c>
      <c r="E34" s="108" t="s">
        <v>327</v>
      </c>
      <c r="F34" s="112"/>
    </row>
    <row r="35" spans="2:6" x14ac:dyDescent="0.25">
      <c r="B35" s="111" t="str">
        <f t="shared" ca="1" si="1"/>
        <v>Mejor Posición</v>
      </c>
      <c r="C35" s="108" t="s">
        <v>173</v>
      </c>
      <c r="D35" s="108" t="s">
        <v>313</v>
      </c>
      <c r="E35" s="108" t="s">
        <v>328</v>
      </c>
      <c r="F35" s="112"/>
    </row>
    <row r="36" spans="2:6" ht="75" x14ac:dyDescent="0.25">
      <c r="B36" s="111" t="str">
        <f t="shared" ca="1" si="1"/>
        <v>Esta hoja es de complementación voluntaria, su único fin es lograr un correcto desempate de los grupos.
Puede ser usada como ajuste manual.</v>
      </c>
      <c r="C36" s="108" t="s">
        <v>230</v>
      </c>
      <c r="D36" s="108" t="s">
        <v>502</v>
      </c>
      <c r="E36" s="108" t="s">
        <v>503</v>
      </c>
      <c r="F36" s="112"/>
    </row>
    <row r="37" spans="2:6" x14ac:dyDescent="0.25">
      <c r="B37" s="111" t="str">
        <f t="shared" ca="1" si="1"/>
        <v>Una tarjeta amarilla</v>
      </c>
      <c r="C37" s="108" t="s">
        <v>367</v>
      </c>
      <c r="D37" s="108" t="s">
        <v>369</v>
      </c>
      <c r="E37" s="108" t="s">
        <v>372</v>
      </c>
      <c r="F37" s="112"/>
    </row>
    <row r="38" spans="2:6" x14ac:dyDescent="0.25">
      <c r="B38" s="111" t="str">
        <f t="shared" ca="1" si="1"/>
        <v>Dos tarjetas amarillas</v>
      </c>
      <c r="C38" s="108" t="s">
        <v>368</v>
      </c>
      <c r="D38" s="108" t="s">
        <v>370</v>
      </c>
      <c r="E38" s="108" t="s">
        <v>373</v>
      </c>
      <c r="F38" s="112"/>
    </row>
    <row r="39" spans="2:6" x14ac:dyDescent="0.25">
      <c r="B39" s="111" t="str">
        <f t="shared" ca="1" si="1"/>
        <v>Tarjeta roja directa</v>
      </c>
      <c r="C39" s="108" t="s">
        <v>365</v>
      </c>
      <c r="D39" s="108" t="s">
        <v>374</v>
      </c>
      <c r="E39" s="108" t="s">
        <v>376</v>
      </c>
      <c r="F39" s="112"/>
    </row>
    <row r="40" spans="2:6" x14ac:dyDescent="0.25">
      <c r="B40" s="111" t="str">
        <f t="shared" ca="1" si="1"/>
        <v>Tarjeta amarilla y roja directa</v>
      </c>
      <c r="C40" s="108" t="s">
        <v>366</v>
      </c>
      <c r="D40" s="108" t="s">
        <v>371</v>
      </c>
      <c r="E40" s="108" t="s">
        <v>375</v>
      </c>
      <c r="F40" s="112"/>
    </row>
    <row r="41" spans="2:6" x14ac:dyDescent="0.25">
      <c r="B41" s="111" t="str">
        <f t="shared" ca="1" si="1"/>
        <v>Modificar puntos de juego limpio</v>
      </c>
      <c r="C41" s="108" t="s">
        <v>217</v>
      </c>
      <c r="D41" s="108" t="s">
        <v>267</v>
      </c>
      <c r="E41" s="108" t="s">
        <v>329</v>
      </c>
      <c r="F41" s="112"/>
    </row>
    <row r="42" spans="2:6" x14ac:dyDescent="0.25">
      <c r="B42" s="111" t="str">
        <f t="shared" ca="1" si="1"/>
        <v>Pts</v>
      </c>
      <c r="C42" s="108" t="s">
        <v>39</v>
      </c>
      <c r="D42" s="108" t="s">
        <v>39</v>
      </c>
      <c r="E42" s="108" t="s">
        <v>39</v>
      </c>
      <c r="F42" s="112"/>
    </row>
    <row r="43" spans="2:6" x14ac:dyDescent="0.25">
      <c r="B43" s="111" t="str">
        <f t="shared" ca="1" si="1"/>
        <v>PJ</v>
      </c>
      <c r="C43" s="108" t="s">
        <v>40</v>
      </c>
      <c r="D43" s="108" t="s">
        <v>380</v>
      </c>
      <c r="E43" s="108" t="s">
        <v>385</v>
      </c>
      <c r="F43" s="112"/>
    </row>
    <row r="44" spans="2:6" x14ac:dyDescent="0.25">
      <c r="B44" s="111" t="str">
        <f t="shared" ca="1" si="1"/>
        <v>PG</v>
      </c>
      <c r="C44" s="108" t="s">
        <v>41</v>
      </c>
      <c r="D44" s="108" t="s">
        <v>0</v>
      </c>
      <c r="E44" s="108" t="s">
        <v>386</v>
      </c>
      <c r="F44" s="112"/>
    </row>
    <row r="45" spans="2:6" x14ac:dyDescent="0.25">
      <c r="B45" s="111" t="str">
        <f t="shared" ca="1" si="1"/>
        <v>PE</v>
      </c>
      <c r="C45" s="108" t="s">
        <v>42</v>
      </c>
      <c r="D45" s="108" t="s">
        <v>381</v>
      </c>
      <c r="E45" s="108" t="s">
        <v>387</v>
      </c>
      <c r="F45" s="112"/>
    </row>
    <row r="46" spans="2:6" x14ac:dyDescent="0.25">
      <c r="B46" s="111" t="str">
        <f t="shared" ca="1" si="1"/>
        <v>PP</v>
      </c>
      <c r="C46" s="108" t="s">
        <v>43</v>
      </c>
      <c r="D46" s="108" t="s">
        <v>382</v>
      </c>
      <c r="E46" s="108" t="s">
        <v>388</v>
      </c>
      <c r="F46" s="112"/>
    </row>
    <row r="47" spans="2:6" x14ac:dyDescent="0.25">
      <c r="B47" s="111" t="str">
        <f t="shared" ca="1" si="1"/>
        <v>GF</v>
      </c>
      <c r="C47" s="108" t="s">
        <v>44</v>
      </c>
      <c r="D47" s="108" t="s">
        <v>383</v>
      </c>
      <c r="E47" s="108" t="s">
        <v>44</v>
      </c>
      <c r="F47" s="112"/>
    </row>
    <row r="48" spans="2:6" x14ac:dyDescent="0.25">
      <c r="B48" s="111" t="str">
        <f t="shared" ca="1" si="1"/>
        <v>GC</v>
      </c>
      <c r="C48" s="108" t="s">
        <v>45</v>
      </c>
      <c r="D48" s="108" t="s">
        <v>384</v>
      </c>
      <c r="E48" s="108" t="s">
        <v>389</v>
      </c>
      <c r="F48" s="112"/>
    </row>
    <row r="49" spans="2:6" x14ac:dyDescent="0.25">
      <c r="B49" s="111" t="str">
        <f t="shared" ca="1" si="1"/>
        <v>Dif</v>
      </c>
      <c r="C49" s="108" t="s">
        <v>46</v>
      </c>
      <c r="D49" s="108" t="s">
        <v>46</v>
      </c>
      <c r="E49" s="108" t="s">
        <v>390</v>
      </c>
      <c r="F49" s="112"/>
    </row>
    <row r="50" spans="2:6" x14ac:dyDescent="0.25">
      <c r="B50" s="111" t="str">
        <f t="shared" ca="1" si="1"/>
        <v>Fase Final</v>
      </c>
      <c r="C50" s="108" t="s">
        <v>167</v>
      </c>
      <c r="D50" s="108" t="s">
        <v>360</v>
      </c>
      <c r="E50" s="108" t="s">
        <v>322</v>
      </c>
      <c r="F50" s="112"/>
    </row>
    <row r="51" spans="2:6" x14ac:dyDescent="0.25">
      <c r="B51" s="111" t="str">
        <f t="shared" ca="1" si="1"/>
        <v>Fase de Grupos</v>
      </c>
      <c r="C51" s="108" t="s">
        <v>130</v>
      </c>
      <c r="D51" s="108" t="s">
        <v>361</v>
      </c>
      <c r="E51" s="108" t="s">
        <v>357</v>
      </c>
      <c r="F51" s="112"/>
    </row>
    <row r="52" spans="2:6" x14ac:dyDescent="0.25">
      <c r="B52" s="111" t="str">
        <f t="shared" ca="1" si="1"/>
        <v>Octavos de final</v>
      </c>
      <c r="C52" s="108" t="s">
        <v>273</v>
      </c>
      <c r="D52" s="108" t="s">
        <v>272</v>
      </c>
      <c r="E52" s="108" t="s">
        <v>355</v>
      </c>
      <c r="F52" s="112"/>
    </row>
    <row r="53" spans="2:6" x14ac:dyDescent="0.25">
      <c r="B53" s="111" t="str">
        <f t="shared" ca="1" si="1"/>
        <v>Cuartos de final</v>
      </c>
      <c r="C53" s="108" t="s">
        <v>274</v>
      </c>
      <c r="D53" s="108" t="s">
        <v>268</v>
      </c>
      <c r="E53" s="108" t="s">
        <v>356</v>
      </c>
      <c r="F53" s="112"/>
    </row>
    <row r="54" spans="2:6" x14ac:dyDescent="0.25">
      <c r="B54" s="111" t="str">
        <f t="shared" ca="1" si="1"/>
        <v>Semifinales</v>
      </c>
      <c r="C54" s="108" t="s">
        <v>126</v>
      </c>
      <c r="D54" s="108" t="s">
        <v>269</v>
      </c>
      <c r="E54" s="108" t="s">
        <v>358</v>
      </c>
      <c r="F54" s="112"/>
    </row>
    <row r="55" spans="2:6" x14ac:dyDescent="0.25">
      <c r="B55" s="111" t="str">
        <f t="shared" ca="1" si="1"/>
        <v>Tercer y Cuarto Puesto</v>
      </c>
      <c r="C55" s="108" t="s">
        <v>129</v>
      </c>
      <c r="D55" s="108" t="s">
        <v>270</v>
      </c>
      <c r="E55" s="108" t="s">
        <v>359</v>
      </c>
      <c r="F55" s="112"/>
    </row>
    <row r="56" spans="2:6" x14ac:dyDescent="0.25">
      <c r="B56" s="111" t="str">
        <f t="shared" ca="1" si="1"/>
        <v>Final</v>
      </c>
      <c r="C56" s="108" t="s">
        <v>127</v>
      </c>
      <c r="D56" s="108" t="s">
        <v>271</v>
      </c>
      <c r="E56" s="108" t="s">
        <v>127</v>
      </c>
      <c r="F56" s="112"/>
    </row>
    <row r="57" spans="2:6" x14ac:dyDescent="0.25">
      <c r="B57" s="111" t="str">
        <f t="shared" ca="1" si="1"/>
        <v>Promedio</v>
      </c>
      <c r="C57" s="108" t="s">
        <v>219</v>
      </c>
      <c r="D57" s="108" t="s">
        <v>275</v>
      </c>
      <c r="E57" s="108" t="s">
        <v>330</v>
      </c>
      <c r="F57" s="112"/>
    </row>
    <row r="58" spans="2:6" x14ac:dyDescent="0.25">
      <c r="B58" s="111" t="str">
        <f t="shared" ca="1" si="1"/>
        <v>Clic sobre el nombre para cambiar de</v>
      </c>
      <c r="C58" s="108" t="s">
        <v>364</v>
      </c>
      <c r="D58" s="108" t="s">
        <v>276</v>
      </c>
      <c r="E58" s="108" t="s">
        <v>363</v>
      </c>
      <c r="F58" s="112"/>
    </row>
    <row r="59" spans="2:6" x14ac:dyDescent="0.25">
      <c r="B59" s="111" t="str">
        <f t="shared" ca="1" si="1"/>
        <v>selección</v>
      </c>
      <c r="C59" s="108" t="s">
        <v>224</v>
      </c>
      <c r="D59" s="108" t="s">
        <v>277</v>
      </c>
      <c r="E59" s="108" t="s">
        <v>331</v>
      </c>
      <c r="F59" s="112"/>
    </row>
    <row r="60" spans="2:6" x14ac:dyDescent="0.25">
      <c r="B60" s="111" t="str">
        <f t="shared" ca="1" si="1"/>
        <v>grupo</v>
      </c>
      <c r="C60" s="108" t="s">
        <v>225</v>
      </c>
      <c r="D60" s="108" t="s">
        <v>278</v>
      </c>
      <c r="E60" s="108" t="s">
        <v>332</v>
      </c>
      <c r="F60" s="112"/>
    </row>
    <row r="61" spans="2:6" x14ac:dyDescent="0.25">
      <c r="B61" s="111" t="str">
        <f t="shared" ca="1" si="1"/>
        <v>sede</v>
      </c>
      <c r="C61" s="108" t="s">
        <v>226</v>
      </c>
      <c r="D61" s="108" t="s">
        <v>279</v>
      </c>
      <c r="E61" s="108" t="s">
        <v>333</v>
      </c>
      <c r="F61" s="112"/>
    </row>
    <row r="62" spans="2:6" x14ac:dyDescent="0.25">
      <c r="B62" s="111" t="str">
        <f t="shared" ca="1" si="1"/>
        <v>espectadores</v>
      </c>
      <c r="C62" s="108" t="s">
        <v>166</v>
      </c>
      <c r="D62" s="108" t="s">
        <v>280</v>
      </c>
      <c r="E62" s="108" t="s">
        <v>362</v>
      </c>
      <c r="F62" s="112"/>
    </row>
    <row r="63" spans="2:6" ht="135" x14ac:dyDescent="0.25">
      <c r="B63" s="111" t="str">
        <f t="shared" ref="B63:B95" ca="1" si="2">OFFSET($B$3,ROW()-ROW($B$3),$B$3)</f>
        <v>Puedes modificar, copiar y compartir esta hoja siempre que me la atribuyas, lo hagas gratuitamente y bajo esta licencia (Creative Commons Reconocimiento-NoComercial-CompartirIgual 4.0 Unported).</v>
      </c>
      <c r="C63" s="108" t="s">
        <v>243</v>
      </c>
      <c r="D63" s="108" t="s">
        <v>281</v>
      </c>
      <c r="E63" s="108" t="s">
        <v>334</v>
      </c>
      <c r="F63" s="112" t="s">
        <v>403</v>
      </c>
    </row>
    <row r="64" spans="2:6" x14ac:dyDescent="0.25">
      <c r="B64" s="111" t="str">
        <f t="shared" ca="1" si="1"/>
        <v>Rusia</v>
      </c>
      <c r="C64" s="108" t="s">
        <v>3</v>
      </c>
      <c r="D64" s="108" t="s">
        <v>282</v>
      </c>
      <c r="E64" s="108" t="s">
        <v>335</v>
      </c>
      <c r="F64" s="112"/>
    </row>
    <row r="65" spans="2:6" x14ac:dyDescent="0.25">
      <c r="B65" s="111" t="str">
        <f t="shared" ca="1" si="1"/>
        <v>Arabia Saudita</v>
      </c>
      <c r="C65" s="108" t="s">
        <v>4</v>
      </c>
      <c r="D65" s="108" t="s">
        <v>283</v>
      </c>
      <c r="E65" s="108" t="s">
        <v>342</v>
      </c>
      <c r="F65" s="112"/>
    </row>
    <row r="66" spans="2:6" x14ac:dyDescent="0.25">
      <c r="B66" s="111" t="str">
        <f t="shared" ca="1" si="1"/>
        <v>Egipto</v>
      </c>
      <c r="C66" s="108" t="s">
        <v>5</v>
      </c>
      <c r="D66" s="108" t="s">
        <v>284</v>
      </c>
      <c r="E66" s="108" t="s">
        <v>336</v>
      </c>
      <c r="F66" s="112"/>
    </row>
    <row r="67" spans="2:6" x14ac:dyDescent="0.25">
      <c r="B67" s="111" t="str">
        <f t="shared" ca="1" si="1"/>
        <v>Uruguay</v>
      </c>
      <c r="C67" s="108" t="s">
        <v>6</v>
      </c>
      <c r="D67" s="108" t="s">
        <v>6</v>
      </c>
      <c r="E67" s="108" t="s">
        <v>6</v>
      </c>
      <c r="F67" s="112"/>
    </row>
    <row r="68" spans="2:6" x14ac:dyDescent="0.25">
      <c r="B68" s="111" t="str">
        <f t="shared" ca="1" si="1"/>
        <v>Marruecos</v>
      </c>
      <c r="C68" s="108" t="s">
        <v>7</v>
      </c>
      <c r="D68" s="108" t="s">
        <v>285</v>
      </c>
      <c r="E68" s="108" t="s">
        <v>337</v>
      </c>
      <c r="F68" s="112"/>
    </row>
    <row r="69" spans="2:6" x14ac:dyDescent="0.25">
      <c r="B69" s="111" t="str">
        <f t="shared" ca="1" si="1"/>
        <v>Irán</v>
      </c>
      <c r="C69" s="108" t="s">
        <v>8</v>
      </c>
      <c r="D69" s="108" t="s">
        <v>286</v>
      </c>
      <c r="E69" s="108" t="s">
        <v>286</v>
      </c>
      <c r="F69" s="112"/>
    </row>
    <row r="70" spans="2:6" x14ac:dyDescent="0.25">
      <c r="B70" s="111" t="str">
        <f t="shared" ca="1" si="1"/>
        <v>Portugal</v>
      </c>
      <c r="C70" s="108" t="s">
        <v>9</v>
      </c>
      <c r="D70" s="108" t="s">
        <v>9</v>
      </c>
      <c r="E70" s="108" t="s">
        <v>9</v>
      </c>
      <c r="F70" s="112"/>
    </row>
    <row r="71" spans="2:6" x14ac:dyDescent="0.25">
      <c r="B71" s="111" t="str">
        <f t="shared" ca="1" si="1"/>
        <v>España</v>
      </c>
      <c r="C71" s="108" t="s">
        <v>10</v>
      </c>
      <c r="D71" s="108" t="s">
        <v>287</v>
      </c>
      <c r="E71" s="108" t="s">
        <v>338</v>
      </c>
      <c r="F71" s="112"/>
    </row>
    <row r="72" spans="2:6" x14ac:dyDescent="0.25">
      <c r="B72" s="111" t="str">
        <f t="shared" ca="1" si="1"/>
        <v>Francia</v>
      </c>
      <c r="C72" s="108" t="s">
        <v>11</v>
      </c>
      <c r="D72" s="108" t="s">
        <v>288</v>
      </c>
      <c r="E72" s="108" t="s">
        <v>288</v>
      </c>
      <c r="F72" s="112"/>
    </row>
    <row r="73" spans="2:6" x14ac:dyDescent="0.25">
      <c r="B73" s="111" t="str">
        <f t="shared" ca="1" si="1"/>
        <v>Australia</v>
      </c>
      <c r="C73" s="108" t="s">
        <v>12</v>
      </c>
      <c r="D73" s="108" t="s">
        <v>289</v>
      </c>
      <c r="E73" s="108" t="s">
        <v>12</v>
      </c>
      <c r="F73" s="112"/>
    </row>
    <row r="74" spans="2:6" x14ac:dyDescent="0.25">
      <c r="B74" s="111" t="str">
        <f t="shared" ca="1" si="1"/>
        <v>Perú</v>
      </c>
      <c r="C74" s="108" t="s">
        <v>13</v>
      </c>
      <c r="D74" s="108" t="s">
        <v>290</v>
      </c>
      <c r="E74" s="108" t="s">
        <v>343</v>
      </c>
      <c r="F74" s="112"/>
    </row>
    <row r="75" spans="2:6" x14ac:dyDescent="0.25">
      <c r="B75" s="111" t="str">
        <f t="shared" ca="1" si="1"/>
        <v>Dinamarca</v>
      </c>
      <c r="C75" s="108" t="s">
        <v>14</v>
      </c>
      <c r="D75" s="108" t="s">
        <v>291</v>
      </c>
      <c r="E75" s="108" t="s">
        <v>354</v>
      </c>
      <c r="F75" s="112"/>
    </row>
    <row r="76" spans="2:6" x14ac:dyDescent="0.25">
      <c r="B76" s="111" t="str">
        <f t="shared" ca="1" si="1"/>
        <v>Argentina</v>
      </c>
      <c r="C76" s="108" t="s">
        <v>15</v>
      </c>
      <c r="D76" s="108" t="s">
        <v>292</v>
      </c>
      <c r="E76" s="108" t="s">
        <v>15</v>
      </c>
      <c r="F76" s="112"/>
    </row>
    <row r="77" spans="2:6" x14ac:dyDescent="0.25">
      <c r="B77" s="111" t="str">
        <f t="shared" ca="1" si="1"/>
        <v>Islandia</v>
      </c>
      <c r="C77" s="108" t="s">
        <v>16</v>
      </c>
      <c r="D77" s="108" t="s">
        <v>293</v>
      </c>
      <c r="E77" s="108" t="s">
        <v>339</v>
      </c>
      <c r="F77" s="112"/>
    </row>
    <row r="78" spans="2:6" x14ac:dyDescent="0.25">
      <c r="B78" s="111" t="str">
        <f t="shared" ca="1" si="1"/>
        <v>Croacia</v>
      </c>
      <c r="C78" s="108" t="s">
        <v>17</v>
      </c>
      <c r="D78" s="108" t="s">
        <v>294</v>
      </c>
      <c r="E78" s="108" t="s">
        <v>340</v>
      </c>
      <c r="F78" s="112"/>
    </row>
    <row r="79" spans="2:6" x14ac:dyDescent="0.25">
      <c r="B79" s="111" t="str">
        <f t="shared" ca="1" si="1"/>
        <v>Nigeria</v>
      </c>
      <c r="C79" s="108" t="s">
        <v>18</v>
      </c>
      <c r="D79" s="108" t="s">
        <v>295</v>
      </c>
      <c r="E79" s="108" t="s">
        <v>18</v>
      </c>
      <c r="F79" s="112"/>
    </row>
    <row r="80" spans="2:6" x14ac:dyDescent="0.25">
      <c r="B80" s="111" t="str">
        <f t="shared" ca="1" si="1"/>
        <v>Costa Rica</v>
      </c>
      <c r="C80" s="108" t="s">
        <v>19</v>
      </c>
      <c r="D80" s="108" t="s">
        <v>19</v>
      </c>
      <c r="E80" s="108" t="s">
        <v>19</v>
      </c>
      <c r="F80" s="112"/>
    </row>
    <row r="81" spans="2:6" x14ac:dyDescent="0.25">
      <c r="B81" s="111" t="str">
        <f t="shared" ca="1" si="1"/>
        <v>Serbia</v>
      </c>
      <c r="C81" s="108" t="s">
        <v>20</v>
      </c>
      <c r="D81" s="108" t="s">
        <v>296</v>
      </c>
      <c r="E81" s="108" t="s">
        <v>20</v>
      </c>
      <c r="F81" s="112"/>
    </row>
    <row r="82" spans="2:6" x14ac:dyDescent="0.25">
      <c r="B82" s="111" t="str">
        <f t="shared" ca="1" si="1"/>
        <v>Brasil</v>
      </c>
      <c r="C82" s="108" t="s">
        <v>21</v>
      </c>
      <c r="D82" s="108" t="s">
        <v>297</v>
      </c>
      <c r="E82" s="108" t="s">
        <v>341</v>
      </c>
      <c r="F82" s="112"/>
    </row>
    <row r="83" spans="2:6" x14ac:dyDescent="0.25">
      <c r="B83" s="111" t="str">
        <f t="shared" ca="1" si="1"/>
        <v>Suiza</v>
      </c>
      <c r="C83" s="108" t="s">
        <v>22</v>
      </c>
      <c r="D83" s="108" t="s">
        <v>298</v>
      </c>
      <c r="E83" s="108" t="s">
        <v>344</v>
      </c>
      <c r="F83" s="112"/>
    </row>
    <row r="84" spans="2:6" x14ac:dyDescent="0.25">
      <c r="B84" s="111" t="str">
        <f t="shared" ca="1" si="1"/>
        <v>Alemania</v>
      </c>
      <c r="C84" s="108" t="s">
        <v>23</v>
      </c>
      <c r="D84" s="108" t="s">
        <v>299</v>
      </c>
      <c r="E84" s="108" t="s">
        <v>345</v>
      </c>
      <c r="F84" s="112"/>
    </row>
    <row r="85" spans="2:6" x14ac:dyDescent="0.25">
      <c r="B85" s="111" t="str">
        <f t="shared" ca="1" si="1"/>
        <v>México</v>
      </c>
      <c r="C85" s="108" t="s">
        <v>24</v>
      </c>
      <c r="D85" s="108" t="s">
        <v>300</v>
      </c>
      <c r="E85" s="108" t="s">
        <v>346</v>
      </c>
      <c r="F85" s="112"/>
    </row>
    <row r="86" spans="2:6" x14ac:dyDescent="0.25">
      <c r="B86" s="111" t="str">
        <f t="shared" ca="1" si="1"/>
        <v>Suecia</v>
      </c>
      <c r="C86" s="108" t="s">
        <v>25</v>
      </c>
      <c r="D86" s="108" t="s">
        <v>301</v>
      </c>
      <c r="E86" s="108" t="s">
        <v>347</v>
      </c>
      <c r="F86" s="112"/>
    </row>
    <row r="87" spans="2:6" x14ac:dyDescent="0.25">
      <c r="B87" s="111" t="str">
        <f t="shared" ca="1" si="1"/>
        <v>Corea del Sur</v>
      </c>
      <c r="C87" s="108" t="s">
        <v>26</v>
      </c>
      <c r="D87" s="108" t="s">
        <v>302</v>
      </c>
      <c r="E87" s="108" t="s">
        <v>348</v>
      </c>
      <c r="F87" s="112"/>
    </row>
    <row r="88" spans="2:6" x14ac:dyDescent="0.25">
      <c r="B88" s="111" t="str">
        <f t="shared" ca="1" si="2"/>
        <v>Bélgica</v>
      </c>
      <c r="C88" s="108" t="s">
        <v>27</v>
      </c>
      <c r="D88" s="108" t="s">
        <v>303</v>
      </c>
      <c r="E88" s="108" t="s">
        <v>349</v>
      </c>
      <c r="F88" s="112"/>
    </row>
    <row r="89" spans="2:6" x14ac:dyDescent="0.25">
      <c r="B89" s="111" t="str">
        <f t="shared" ca="1" si="2"/>
        <v>Panamá</v>
      </c>
      <c r="C89" s="108" t="s">
        <v>28</v>
      </c>
      <c r="D89" s="108" t="s">
        <v>304</v>
      </c>
      <c r="E89" s="108" t="s">
        <v>304</v>
      </c>
      <c r="F89" s="112"/>
    </row>
    <row r="90" spans="2:6" x14ac:dyDescent="0.25">
      <c r="B90" s="111" t="str">
        <f t="shared" ca="1" si="2"/>
        <v>Túnez</v>
      </c>
      <c r="C90" s="108" t="s">
        <v>29</v>
      </c>
      <c r="D90" s="108" t="s">
        <v>305</v>
      </c>
      <c r="E90" s="108" t="s">
        <v>350</v>
      </c>
      <c r="F90" s="112"/>
    </row>
    <row r="91" spans="2:6" x14ac:dyDescent="0.25">
      <c r="B91" s="111" t="str">
        <f t="shared" ca="1" si="2"/>
        <v>Inglaterra</v>
      </c>
      <c r="C91" s="108" t="s">
        <v>30</v>
      </c>
      <c r="D91" s="108" t="s">
        <v>306</v>
      </c>
      <c r="E91" s="108" t="s">
        <v>351</v>
      </c>
      <c r="F91" s="112"/>
    </row>
    <row r="92" spans="2:6" x14ac:dyDescent="0.25">
      <c r="B92" s="111" t="str">
        <f t="shared" ca="1" si="2"/>
        <v>Colombia</v>
      </c>
      <c r="C92" s="108" t="s">
        <v>31</v>
      </c>
      <c r="D92" s="108" t="s">
        <v>307</v>
      </c>
      <c r="E92" s="108" t="s">
        <v>31</v>
      </c>
      <c r="F92" s="112"/>
    </row>
    <row r="93" spans="2:6" x14ac:dyDescent="0.25">
      <c r="B93" s="111" t="str">
        <f t="shared" ca="1" si="2"/>
        <v>Japón</v>
      </c>
      <c r="C93" s="108" t="s">
        <v>32</v>
      </c>
      <c r="D93" s="108" t="s">
        <v>308</v>
      </c>
      <c r="E93" s="108" t="s">
        <v>352</v>
      </c>
      <c r="F93" s="112"/>
    </row>
    <row r="94" spans="2:6" x14ac:dyDescent="0.25">
      <c r="B94" s="111" t="str">
        <f t="shared" ca="1" si="2"/>
        <v>Polonia</v>
      </c>
      <c r="C94" s="108" t="s">
        <v>33</v>
      </c>
      <c r="D94" s="108" t="s">
        <v>309</v>
      </c>
      <c r="E94" s="108" t="s">
        <v>353</v>
      </c>
      <c r="F94" s="112"/>
    </row>
    <row r="95" spans="2:6" x14ac:dyDescent="0.25">
      <c r="B95" s="111" t="str">
        <f t="shared" ca="1" si="2"/>
        <v>Senegal</v>
      </c>
      <c r="C95" s="108" t="s">
        <v>34</v>
      </c>
      <c r="D95" s="108" t="s">
        <v>310</v>
      </c>
      <c r="E95" s="108" t="s">
        <v>34</v>
      </c>
      <c r="F95" s="112"/>
    </row>
    <row r="96" spans="2:6" x14ac:dyDescent="0.25"/>
  </sheetData>
  <sheetProtection sheet="1" objects="1" scenarios="1"/>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33"/>
  <sheetViews>
    <sheetView topLeftCell="A16" workbookViewId="0">
      <selection activeCell="H10" sqref="H10"/>
    </sheetView>
  </sheetViews>
  <sheetFormatPr baseColWidth="10" defaultRowHeight="120" customHeight="1" x14ac:dyDescent="0.25"/>
  <cols>
    <col min="1" max="1" width="13.7109375" style="33" bestFit="1" customWidth="1"/>
    <col min="2" max="2" width="19.7109375" style="33" bestFit="1" customWidth="1"/>
    <col min="3" max="3" width="14.42578125" style="33" bestFit="1" customWidth="1"/>
    <col min="4" max="5" width="11.42578125" style="33"/>
    <col min="6" max="6" width="14.140625" style="33" bestFit="1" customWidth="1"/>
    <col min="7" max="7" width="14.140625" style="33" customWidth="1"/>
    <col min="8" max="8" width="34.28515625" style="33" customWidth="1"/>
    <col min="9" max="16384" width="11.42578125" style="33"/>
  </cols>
  <sheetData>
    <row r="1" spans="1:9" ht="120" customHeight="1" x14ac:dyDescent="0.25">
      <c r="B1" s="33" t="s">
        <v>170</v>
      </c>
      <c r="C1" s="33" t="s">
        <v>171</v>
      </c>
      <c r="D1" s="33" t="s">
        <v>172</v>
      </c>
      <c r="E1" s="33" t="s">
        <v>211</v>
      </c>
      <c r="F1" s="33" t="s">
        <v>173</v>
      </c>
      <c r="G1" s="33" t="s">
        <v>213</v>
      </c>
      <c r="H1" s="33" t="s">
        <v>174</v>
      </c>
    </row>
    <row r="2" spans="1:9" ht="120" customHeight="1" x14ac:dyDescent="0.25">
      <c r="A2" s="33" t="str">
        <f ca="1">Config!E2</f>
        <v>Rusia</v>
      </c>
      <c r="B2" s="33" t="s">
        <v>175</v>
      </c>
      <c r="C2" s="33">
        <v>11</v>
      </c>
      <c r="D2" s="33">
        <v>0</v>
      </c>
      <c r="F2" s="33">
        <v>4</v>
      </c>
      <c r="G2" s="33">
        <v>1966</v>
      </c>
      <c r="H2"/>
      <c r="I2" s="33" t="str">
        <f>ADDRESS(ROW(),COLUMN(H2),1,1,"ConfigPaises")</f>
        <v>ConfigPaises!$H$2</v>
      </c>
    </row>
    <row r="3" spans="1:9" ht="120" customHeight="1" x14ac:dyDescent="0.25">
      <c r="A3" s="33" t="str">
        <f ca="1">Config!E3</f>
        <v>Arabia Saudita</v>
      </c>
      <c r="B3" s="33" t="s">
        <v>206</v>
      </c>
      <c r="C3" s="33">
        <v>5</v>
      </c>
      <c r="D3" s="33">
        <v>0</v>
      </c>
      <c r="F3" s="33">
        <v>12</v>
      </c>
      <c r="G3" s="33">
        <v>1994</v>
      </c>
      <c r="H3"/>
      <c r="I3" s="33" t="str">
        <f t="shared" ref="I3:I33" si="0">ADDRESS(ROW(),COLUMN(H3),1,1,"ConfigPaises")</f>
        <v>ConfigPaises!$H$3</v>
      </c>
    </row>
    <row r="4" spans="1:9" ht="120" customHeight="1" x14ac:dyDescent="0.25">
      <c r="A4" s="33" t="str">
        <f ca="1">Config!E4</f>
        <v>Egipto</v>
      </c>
      <c r="B4" s="33" t="s">
        <v>196</v>
      </c>
      <c r="C4" s="33">
        <v>3</v>
      </c>
      <c r="D4" s="33">
        <v>0</v>
      </c>
      <c r="F4" s="33">
        <v>13</v>
      </c>
      <c r="G4" s="33">
        <v>1934</v>
      </c>
      <c r="H4"/>
      <c r="I4" s="33" t="str">
        <f t="shared" si="0"/>
        <v>ConfigPaises!$H$4</v>
      </c>
    </row>
    <row r="5" spans="1:9" ht="120" customHeight="1" x14ac:dyDescent="0.25">
      <c r="A5" s="33" t="str">
        <f ca="1">Config!E5</f>
        <v>Uruguay</v>
      </c>
      <c r="B5" s="33" t="s">
        <v>189</v>
      </c>
      <c r="C5" s="33">
        <v>13</v>
      </c>
      <c r="D5" s="33">
        <v>2</v>
      </c>
      <c r="E5" s="33" t="s">
        <v>222</v>
      </c>
      <c r="F5" s="33">
        <v>1</v>
      </c>
      <c r="G5" s="33" t="s">
        <v>212</v>
      </c>
      <c r="H5"/>
      <c r="I5" s="33" t="str">
        <f t="shared" si="0"/>
        <v>ConfigPaises!$H$5</v>
      </c>
    </row>
    <row r="6" spans="1:9" ht="120" customHeight="1" x14ac:dyDescent="0.25">
      <c r="A6" s="33" t="str">
        <f ca="1">Config!E6</f>
        <v>Marruecos</v>
      </c>
      <c r="B6" s="33" t="s">
        <v>203</v>
      </c>
      <c r="C6" s="33">
        <v>5</v>
      </c>
      <c r="D6" s="33">
        <v>0</v>
      </c>
      <c r="F6" s="33">
        <v>11</v>
      </c>
      <c r="G6" s="33">
        <v>1986</v>
      </c>
      <c r="H6"/>
      <c r="I6" s="33" t="str">
        <f t="shared" si="0"/>
        <v>ConfigPaises!$H$6</v>
      </c>
    </row>
    <row r="7" spans="1:9" ht="120" customHeight="1" x14ac:dyDescent="0.25">
      <c r="A7" s="33" t="str">
        <f ca="1">Config!E7</f>
        <v>Irán</v>
      </c>
      <c r="B7" s="33" t="s">
        <v>198</v>
      </c>
      <c r="C7" s="33">
        <v>5</v>
      </c>
      <c r="D7" s="33">
        <v>0</v>
      </c>
      <c r="F7" s="33">
        <v>14</v>
      </c>
      <c r="G7" s="33">
        <v>1978</v>
      </c>
      <c r="H7"/>
      <c r="I7" s="33" t="str">
        <f t="shared" si="0"/>
        <v>ConfigPaises!$H$7</v>
      </c>
    </row>
    <row r="8" spans="1:9" ht="120" customHeight="1" x14ac:dyDescent="0.25">
      <c r="A8" s="33" t="str">
        <f ca="1">Config!E8</f>
        <v>Portugal</v>
      </c>
      <c r="B8" s="33" t="s">
        <v>178</v>
      </c>
      <c r="C8" s="33">
        <v>7</v>
      </c>
      <c r="D8" s="33">
        <v>0</v>
      </c>
      <c r="F8" s="33">
        <v>4</v>
      </c>
      <c r="G8" s="33">
        <v>2006</v>
      </c>
      <c r="H8"/>
      <c r="I8" s="33" t="str">
        <f t="shared" si="0"/>
        <v>ConfigPaises!$H$8</v>
      </c>
    </row>
    <row r="9" spans="1:9" ht="120" customHeight="1" x14ac:dyDescent="0.25">
      <c r="A9" s="33" t="str">
        <f ca="1">Config!E9</f>
        <v>España</v>
      </c>
      <c r="B9" s="33" t="s">
        <v>177</v>
      </c>
      <c r="C9" s="33">
        <v>15</v>
      </c>
      <c r="D9" s="33">
        <v>1</v>
      </c>
      <c r="E9" s="33">
        <v>2010</v>
      </c>
      <c r="F9" s="33">
        <v>1</v>
      </c>
      <c r="G9" s="33">
        <v>2010</v>
      </c>
      <c r="H9"/>
      <c r="I9" s="33" t="str">
        <f t="shared" si="0"/>
        <v>ConfigPaises!$H$9</v>
      </c>
    </row>
    <row r="10" spans="1:9" ht="120" customHeight="1" x14ac:dyDescent="0.25">
      <c r="A10" s="33" t="str">
        <f ca="1">Config!E10</f>
        <v>Francia</v>
      </c>
      <c r="B10" s="33" t="s">
        <v>183</v>
      </c>
      <c r="C10" s="33">
        <v>15</v>
      </c>
      <c r="D10" s="33">
        <v>1</v>
      </c>
      <c r="E10" s="33">
        <v>1998</v>
      </c>
      <c r="F10" s="33">
        <v>1</v>
      </c>
      <c r="G10" s="33">
        <v>1998</v>
      </c>
      <c r="H10"/>
      <c r="I10" s="33" t="str">
        <f t="shared" si="0"/>
        <v>ConfigPaises!$H$10</v>
      </c>
    </row>
    <row r="11" spans="1:9" ht="120" customHeight="1" x14ac:dyDescent="0.25">
      <c r="A11" s="33" t="str">
        <f ca="1">Config!E11</f>
        <v>Australia</v>
      </c>
      <c r="B11" s="33" t="s">
        <v>201</v>
      </c>
      <c r="C11" s="33">
        <v>5</v>
      </c>
      <c r="D11" s="33">
        <v>0</v>
      </c>
      <c r="F11" s="33">
        <v>14</v>
      </c>
      <c r="G11" s="33">
        <v>1974</v>
      </c>
      <c r="I11" s="33" t="str">
        <f t="shared" si="0"/>
        <v>ConfigPaises!$H$11</v>
      </c>
    </row>
    <row r="12" spans="1:9" ht="120" customHeight="1" x14ac:dyDescent="0.25">
      <c r="A12" s="33" t="str">
        <f ca="1">Config!E12</f>
        <v>Perú</v>
      </c>
      <c r="B12" s="33" t="s">
        <v>184</v>
      </c>
      <c r="C12" s="33">
        <v>5</v>
      </c>
      <c r="D12" s="33">
        <v>0</v>
      </c>
      <c r="F12" s="33">
        <v>8</v>
      </c>
      <c r="G12" s="33">
        <v>1978</v>
      </c>
      <c r="I12" s="33" t="str">
        <f t="shared" si="0"/>
        <v>ConfigPaises!$H$12</v>
      </c>
    </row>
    <row r="13" spans="1:9" ht="120" customHeight="1" x14ac:dyDescent="0.25">
      <c r="A13" s="33" t="str">
        <f ca="1">Config!E13</f>
        <v>Dinamarca</v>
      </c>
      <c r="B13" s="33" t="s">
        <v>191</v>
      </c>
      <c r="C13" s="33">
        <v>5</v>
      </c>
      <c r="D13" s="33">
        <v>0</v>
      </c>
      <c r="F13" s="33">
        <v>8</v>
      </c>
      <c r="G13" s="33">
        <v>1998</v>
      </c>
      <c r="I13" s="33" t="str">
        <f t="shared" si="0"/>
        <v>ConfigPaises!$H$13</v>
      </c>
    </row>
    <row r="14" spans="1:9" ht="120" customHeight="1" x14ac:dyDescent="0.25">
      <c r="A14" s="33" t="str">
        <f ca="1">Config!E14</f>
        <v>Argentina</v>
      </c>
      <c r="B14" s="33" t="s">
        <v>180</v>
      </c>
      <c r="C14" s="33">
        <v>17</v>
      </c>
      <c r="D14" s="33">
        <v>2</v>
      </c>
      <c r="E14" s="33" t="s">
        <v>221</v>
      </c>
      <c r="F14" s="33">
        <v>1</v>
      </c>
      <c r="G14" s="33" t="s">
        <v>221</v>
      </c>
      <c r="H14"/>
      <c r="I14" s="33" t="str">
        <f t="shared" si="0"/>
        <v>ConfigPaises!$H$14</v>
      </c>
    </row>
    <row r="15" spans="1:9" ht="120" customHeight="1" x14ac:dyDescent="0.25">
      <c r="A15" s="33" t="str">
        <f ca="1">Config!E15</f>
        <v>Islandia</v>
      </c>
      <c r="B15" s="33" t="s">
        <v>192</v>
      </c>
      <c r="C15" s="33">
        <v>1</v>
      </c>
      <c r="D15" s="33">
        <v>0</v>
      </c>
      <c r="F15" s="33">
        <v>28</v>
      </c>
      <c r="G15" s="33">
        <v>2018</v>
      </c>
      <c r="H15"/>
      <c r="I15" s="33" t="str">
        <f t="shared" si="0"/>
        <v>ConfigPaises!$H$15</v>
      </c>
    </row>
    <row r="16" spans="1:9" ht="120" customHeight="1" x14ac:dyDescent="0.25">
      <c r="A16" s="33" t="str">
        <f ca="1">Config!E16</f>
        <v>Croacia</v>
      </c>
      <c r="B16" s="33" t="s">
        <v>190</v>
      </c>
      <c r="C16" s="33">
        <v>5</v>
      </c>
      <c r="D16" s="33">
        <v>0</v>
      </c>
      <c r="F16" s="33">
        <v>3</v>
      </c>
      <c r="G16" s="33">
        <v>1998</v>
      </c>
      <c r="I16" s="33" t="str">
        <f t="shared" si="0"/>
        <v>ConfigPaises!$H$16</v>
      </c>
    </row>
    <row r="17" spans="1:10" ht="120" customHeight="1" x14ac:dyDescent="0.25">
      <c r="A17" s="33" t="str">
        <f ca="1">Config!E17</f>
        <v>Nigeria</v>
      </c>
      <c r="B17" s="33" t="s">
        <v>200</v>
      </c>
      <c r="C17" s="33">
        <v>6</v>
      </c>
      <c r="D17" s="33">
        <v>0</v>
      </c>
      <c r="F17" s="33">
        <v>9</v>
      </c>
      <c r="G17" s="33">
        <v>1994</v>
      </c>
      <c r="I17" s="33" t="str">
        <f t="shared" si="0"/>
        <v>ConfigPaises!$H$17</v>
      </c>
    </row>
    <row r="18" spans="1:10" ht="120" customHeight="1" x14ac:dyDescent="0.25">
      <c r="A18" s="33" t="str">
        <f ca="1">Config!E18</f>
        <v>Costa Rica</v>
      </c>
      <c r="B18" s="33" t="s">
        <v>193</v>
      </c>
      <c r="C18" s="33">
        <v>5</v>
      </c>
      <c r="D18" s="33">
        <v>0</v>
      </c>
      <c r="F18" s="33">
        <v>8</v>
      </c>
      <c r="G18" s="33">
        <v>2014</v>
      </c>
      <c r="H18"/>
      <c r="I18" s="33" t="str">
        <f t="shared" si="0"/>
        <v>ConfigPaises!$H$18</v>
      </c>
    </row>
    <row r="19" spans="1:10" ht="120" customHeight="1" x14ac:dyDescent="0.25">
      <c r="A19" s="33" t="str">
        <f ca="1">Config!E19</f>
        <v>Serbia</v>
      </c>
      <c r="B19" s="33" t="s">
        <v>199</v>
      </c>
      <c r="C19" s="33">
        <v>12</v>
      </c>
      <c r="D19" s="33">
        <v>0</v>
      </c>
      <c r="F19" s="33">
        <v>4</v>
      </c>
      <c r="G19" s="33" t="s">
        <v>238</v>
      </c>
      <c r="H19"/>
      <c r="I19" s="33" t="str">
        <f t="shared" si="0"/>
        <v>ConfigPaises!$H$19</v>
      </c>
      <c r="J19" s="33" t="s">
        <v>239</v>
      </c>
    </row>
    <row r="20" spans="1:10" ht="120" customHeight="1" x14ac:dyDescent="0.25">
      <c r="A20" s="33" t="str">
        <f ca="1">Config!E20</f>
        <v>Brasil</v>
      </c>
      <c r="B20" s="33" t="s">
        <v>179</v>
      </c>
      <c r="C20" s="33">
        <v>21</v>
      </c>
      <c r="D20" s="33">
        <v>5</v>
      </c>
      <c r="E20" s="33" t="s">
        <v>220</v>
      </c>
      <c r="F20" s="33">
        <v>1</v>
      </c>
      <c r="G20" s="33" t="s">
        <v>220</v>
      </c>
      <c r="I20" s="33" t="str">
        <f t="shared" si="0"/>
        <v>ConfigPaises!$H$20</v>
      </c>
    </row>
    <row r="21" spans="1:10" ht="120" customHeight="1" x14ac:dyDescent="0.25">
      <c r="A21" s="33" t="str">
        <f ca="1">Config!E21</f>
        <v>Suiza</v>
      </c>
      <c r="B21" s="33" t="s">
        <v>185</v>
      </c>
      <c r="C21" s="33">
        <v>11</v>
      </c>
      <c r="D21" s="33">
        <v>0</v>
      </c>
      <c r="F21" s="33">
        <v>5</v>
      </c>
      <c r="G21" s="33">
        <v>1954</v>
      </c>
      <c r="H21"/>
      <c r="I21" s="33" t="str">
        <f t="shared" si="0"/>
        <v>ConfigPaises!$H$21</v>
      </c>
    </row>
    <row r="22" spans="1:10" ht="120" customHeight="1" x14ac:dyDescent="0.25">
      <c r="A22" s="33" t="str">
        <f ca="1">Config!E22</f>
        <v>Alemania</v>
      </c>
      <c r="B22" s="33" t="s">
        <v>176</v>
      </c>
      <c r="C22" s="33">
        <v>19</v>
      </c>
      <c r="D22" s="33">
        <v>4</v>
      </c>
      <c r="E22" s="33" t="s">
        <v>223</v>
      </c>
      <c r="F22" s="33">
        <v>1</v>
      </c>
      <c r="G22" s="33" t="s">
        <v>223</v>
      </c>
      <c r="H22"/>
      <c r="I22" s="33" t="str">
        <f t="shared" si="0"/>
        <v>ConfigPaises!$H$22</v>
      </c>
    </row>
    <row r="23" spans="1:10" ht="120" customHeight="1" x14ac:dyDescent="0.25">
      <c r="A23" s="33" t="str">
        <f ca="1">Config!E23</f>
        <v>México</v>
      </c>
      <c r="B23" s="33" t="s">
        <v>188</v>
      </c>
      <c r="C23" s="33">
        <v>16</v>
      </c>
      <c r="D23" s="33">
        <v>0</v>
      </c>
      <c r="F23" s="33">
        <v>6</v>
      </c>
      <c r="G23" s="33" t="s">
        <v>240</v>
      </c>
      <c r="H23"/>
      <c r="I23" s="33" t="str">
        <f t="shared" si="0"/>
        <v>ConfigPaises!$H$23</v>
      </c>
    </row>
    <row r="24" spans="1:10" ht="120" customHeight="1" x14ac:dyDescent="0.25">
      <c r="A24" s="33" t="str">
        <f ca="1">Config!E24</f>
        <v>Suecia</v>
      </c>
      <c r="B24" s="33" t="s">
        <v>194</v>
      </c>
      <c r="C24" s="33">
        <v>12</v>
      </c>
      <c r="D24" s="33">
        <v>0</v>
      </c>
      <c r="F24" s="33">
        <v>2</v>
      </c>
      <c r="G24" s="33">
        <v>1958</v>
      </c>
      <c r="H24"/>
      <c r="I24" s="33" t="str">
        <f t="shared" si="0"/>
        <v>ConfigPaises!$H$24</v>
      </c>
    </row>
    <row r="25" spans="1:10" ht="120" customHeight="1" x14ac:dyDescent="0.25">
      <c r="A25" s="33" t="str">
        <f ca="1">Config!E25</f>
        <v>Corea del Sur</v>
      </c>
      <c r="B25" s="33" t="s">
        <v>205</v>
      </c>
      <c r="C25" s="33">
        <v>10</v>
      </c>
      <c r="D25" s="33">
        <v>0</v>
      </c>
      <c r="F25" s="33">
        <v>4</v>
      </c>
      <c r="G25" s="33">
        <v>2002</v>
      </c>
      <c r="H25"/>
      <c r="I25" s="33" t="str">
        <f t="shared" si="0"/>
        <v>ConfigPaises!$H$25</v>
      </c>
    </row>
    <row r="26" spans="1:10" ht="120" customHeight="1" x14ac:dyDescent="0.25">
      <c r="A26" s="33" t="str">
        <f ca="1">Config!E26</f>
        <v>Bélgica</v>
      </c>
      <c r="B26" s="33" t="s">
        <v>181</v>
      </c>
      <c r="C26" s="33">
        <v>13</v>
      </c>
      <c r="D26" s="33">
        <v>0</v>
      </c>
      <c r="F26" s="33">
        <v>4</v>
      </c>
      <c r="G26" s="33">
        <v>1986</v>
      </c>
      <c r="H26"/>
      <c r="I26" s="33" t="str">
        <f t="shared" si="0"/>
        <v>ConfigPaises!$H$26</v>
      </c>
    </row>
    <row r="27" spans="1:10" ht="120" customHeight="1" x14ac:dyDescent="0.25">
      <c r="A27" s="33" t="str">
        <f ca="1">Config!E27</f>
        <v>Panamá</v>
      </c>
      <c r="B27" s="33" t="s">
        <v>204</v>
      </c>
      <c r="C27" s="33">
        <v>1</v>
      </c>
      <c r="D27" s="33">
        <v>0</v>
      </c>
      <c r="F27" s="33">
        <v>32</v>
      </c>
      <c r="G27" s="33">
        <v>2018</v>
      </c>
      <c r="H27"/>
      <c r="I27" s="33" t="str">
        <f t="shared" si="0"/>
        <v>ConfigPaises!$H$27</v>
      </c>
    </row>
    <row r="28" spans="1:10" ht="120" customHeight="1" x14ac:dyDescent="0.25">
      <c r="A28" s="33" t="str">
        <f ca="1">Config!E28</f>
        <v>Túnez</v>
      </c>
      <c r="B28" s="33" t="s">
        <v>195</v>
      </c>
      <c r="C28" s="33">
        <v>5</v>
      </c>
      <c r="D28" s="33">
        <v>0</v>
      </c>
      <c r="F28" s="33">
        <v>9</v>
      </c>
      <c r="G28" s="33">
        <v>1978</v>
      </c>
      <c r="H28"/>
      <c r="I28" s="33" t="str">
        <f t="shared" si="0"/>
        <v>ConfigPaises!$H$28</v>
      </c>
    </row>
    <row r="29" spans="1:10" ht="120" customHeight="1" x14ac:dyDescent="0.25">
      <c r="A29" s="33" t="str">
        <f ca="1">Config!E29</f>
        <v>Inglaterra</v>
      </c>
      <c r="B29" s="33" t="s">
        <v>186</v>
      </c>
      <c r="C29" s="33">
        <v>15</v>
      </c>
      <c r="D29" s="33">
        <v>1</v>
      </c>
      <c r="E29" s="33">
        <v>1966</v>
      </c>
      <c r="F29" s="33">
        <v>1</v>
      </c>
      <c r="G29" s="33">
        <v>1966</v>
      </c>
      <c r="H29"/>
      <c r="I29" s="33" t="str">
        <f>ADDRESS(ROW(),COLUMN(H29),1,1,"ConfigPaises")</f>
        <v>ConfigPaises!$H$29</v>
      </c>
    </row>
    <row r="30" spans="1:10" ht="120" customHeight="1" x14ac:dyDescent="0.25">
      <c r="A30" s="33" t="str">
        <f ca="1">Config!E30</f>
        <v>Colombia</v>
      </c>
      <c r="B30" s="33" t="s">
        <v>187</v>
      </c>
      <c r="C30" s="33">
        <v>6</v>
      </c>
      <c r="D30" s="33">
        <v>0</v>
      </c>
      <c r="F30" s="33">
        <v>5</v>
      </c>
      <c r="G30" s="33">
        <v>2014</v>
      </c>
      <c r="H30"/>
      <c r="I30" s="33" t="str">
        <f t="shared" si="0"/>
        <v>ConfigPaises!$H$30</v>
      </c>
    </row>
    <row r="31" spans="1:10" ht="120" customHeight="1" x14ac:dyDescent="0.25">
      <c r="A31" s="33" t="str">
        <f ca="1">Config!E31</f>
        <v>Japón</v>
      </c>
      <c r="B31" s="33" t="s">
        <v>202</v>
      </c>
      <c r="C31" s="33">
        <v>6</v>
      </c>
      <c r="D31" s="33">
        <v>0</v>
      </c>
      <c r="F31" s="33">
        <v>9</v>
      </c>
      <c r="G31" s="33" t="s">
        <v>377</v>
      </c>
      <c r="H31"/>
      <c r="I31" s="33" t="str">
        <f t="shared" si="0"/>
        <v>ConfigPaises!$H$31</v>
      </c>
    </row>
    <row r="32" spans="1:10" ht="120" customHeight="1" x14ac:dyDescent="0.25">
      <c r="A32" s="33" t="str">
        <f ca="1">Config!E32</f>
        <v>Polonia</v>
      </c>
      <c r="B32" s="33" t="s">
        <v>182</v>
      </c>
      <c r="C32" s="33">
        <v>8</v>
      </c>
      <c r="D32" s="33">
        <v>0</v>
      </c>
      <c r="F32" s="33">
        <v>3</v>
      </c>
      <c r="G32" s="33" t="s">
        <v>378</v>
      </c>
      <c r="H32"/>
      <c r="I32" s="33" t="str">
        <f t="shared" si="0"/>
        <v>ConfigPaises!$H$32</v>
      </c>
    </row>
    <row r="33" spans="1:9" ht="120" customHeight="1" x14ac:dyDescent="0.25">
      <c r="A33" s="33" t="str">
        <f ca="1">Config!E33</f>
        <v>Senegal</v>
      </c>
      <c r="B33" s="33" t="s">
        <v>197</v>
      </c>
      <c r="C33" s="33">
        <v>2</v>
      </c>
      <c r="D33" s="33">
        <v>0</v>
      </c>
      <c r="F33" s="33">
        <v>7</v>
      </c>
      <c r="G33" s="33">
        <v>2002</v>
      </c>
      <c r="H33"/>
      <c r="I33" s="33" t="str">
        <f t="shared" si="0"/>
        <v>ConfigPaises!$H$33</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J13"/>
  <sheetViews>
    <sheetView topLeftCell="A8" zoomScale="85" zoomScaleNormal="85" workbookViewId="0">
      <selection activeCell="F6" sqref="F6"/>
    </sheetView>
  </sheetViews>
  <sheetFormatPr baseColWidth="10" defaultRowHeight="15" x14ac:dyDescent="0.25"/>
  <cols>
    <col min="1" max="1" width="23.7109375" style="33" bestFit="1" customWidth="1"/>
    <col min="2" max="2" width="11.42578125" style="33"/>
    <col min="3" max="3" width="15.85546875" style="33" bestFit="1" customWidth="1"/>
    <col min="4" max="4" width="11.42578125" style="33"/>
    <col min="5" max="5" width="79.140625" style="33" customWidth="1"/>
    <col min="6" max="16384" width="11.42578125" style="33"/>
  </cols>
  <sheetData>
    <row r="1" spans="1:10" x14ac:dyDescent="0.25">
      <c r="A1" s="33" t="s">
        <v>56</v>
      </c>
      <c r="B1" s="33" t="s">
        <v>142</v>
      </c>
      <c r="C1" s="33" t="s">
        <v>139</v>
      </c>
      <c r="D1" s="33" t="s">
        <v>140</v>
      </c>
      <c r="E1" s="33" t="s">
        <v>141</v>
      </c>
      <c r="H1" s="33" t="s">
        <v>71</v>
      </c>
      <c r="I1" s="33" t="s">
        <v>207</v>
      </c>
      <c r="J1" s="33" t="s">
        <v>209</v>
      </c>
    </row>
    <row r="2" spans="1:10" ht="227.25" customHeight="1" x14ac:dyDescent="0.25">
      <c r="A2" s="33" t="s">
        <v>165</v>
      </c>
      <c r="B2" s="33">
        <v>1956</v>
      </c>
      <c r="C2" s="33" t="s">
        <v>154</v>
      </c>
      <c r="D2" s="36">
        <v>81300</v>
      </c>
      <c r="F2" s="33" t="str">
        <f>ADDRESS(ROW(),COLUMN(E2),1,1,"ConfigEstadios")</f>
        <v>ConfigEstadios!$E$2</v>
      </c>
      <c r="H2" s="33" t="s">
        <v>0</v>
      </c>
      <c r="I2" s="33" t="s">
        <v>208</v>
      </c>
      <c r="J2" s="33" t="s">
        <v>210</v>
      </c>
    </row>
    <row r="3" spans="1:10" ht="227.25" customHeight="1" x14ac:dyDescent="0.25">
      <c r="A3" s="33" t="s">
        <v>143</v>
      </c>
      <c r="B3" s="33">
        <v>2014</v>
      </c>
      <c r="C3" s="33" t="s">
        <v>154</v>
      </c>
      <c r="D3" s="36">
        <v>46990</v>
      </c>
      <c r="E3"/>
      <c r="F3" s="33" t="str">
        <f t="shared" ref="F3:F13" si="0">ADDRESS(ROW(),COLUMN(E3),1,1,"ConfigEstadios")</f>
        <v>ConfigEstadios!$E$3</v>
      </c>
    </row>
    <row r="4" spans="1:10" ht="227.25" customHeight="1" x14ac:dyDescent="0.25">
      <c r="A4" s="33" t="s">
        <v>144</v>
      </c>
      <c r="B4" s="33">
        <v>2007</v>
      </c>
      <c r="C4" s="33" t="s">
        <v>155</v>
      </c>
      <c r="D4" s="36">
        <v>69500</v>
      </c>
      <c r="E4"/>
      <c r="F4" s="33" t="str">
        <f t="shared" si="0"/>
        <v>ConfigEstadios!$E$4</v>
      </c>
    </row>
    <row r="5" spans="1:10" ht="227.25" customHeight="1" x14ac:dyDescent="0.25">
      <c r="A5" s="33" t="s">
        <v>145</v>
      </c>
      <c r="B5" s="33">
        <v>2018</v>
      </c>
      <c r="C5" s="33" t="s">
        <v>156</v>
      </c>
      <c r="D5" s="36">
        <v>35000</v>
      </c>
      <c r="E5"/>
      <c r="F5" s="33" t="str">
        <f t="shared" si="0"/>
        <v>ConfigEstadios!$E$5</v>
      </c>
    </row>
    <row r="6" spans="1:10" ht="227.25" customHeight="1" x14ac:dyDescent="0.25">
      <c r="A6" s="33" t="s">
        <v>146</v>
      </c>
      <c r="B6" s="33">
        <v>2018</v>
      </c>
      <c r="C6" s="33" t="s">
        <v>157</v>
      </c>
      <c r="D6" s="36">
        <v>44899</v>
      </c>
      <c r="E6"/>
      <c r="F6" s="33" t="str">
        <f t="shared" si="0"/>
        <v>ConfigEstadios!$E$6</v>
      </c>
    </row>
    <row r="7" spans="1:10" ht="227.25" customHeight="1" x14ac:dyDescent="0.25">
      <c r="A7" s="33" t="s">
        <v>147</v>
      </c>
      <c r="B7" s="33">
        <v>2018</v>
      </c>
      <c r="C7" s="33" t="s">
        <v>158</v>
      </c>
      <c r="D7" s="36">
        <v>45015</v>
      </c>
      <c r="E7"/>
      <c r="F7" s="33" t="str">
        <f t="shared" si="0"/>
        <v>ConfigEstadios!$E$7</v>
      </c>
    </row>
    <row r="8" spans="1:10" ht="227.25" customHeight="1" x14ac:dyDescent="0.25">
      <c r="A8" s="33" t="s">
        <v>148</v>
      </c>
      <c r="B8" s="33">
        <v>2015</v>
      </c>
      <c r="C8" s="33" t="s">
        <v>159</v>
      </c>
      <c r="D8" s="36">
        <v>35000</v>
      </c>
      <c r="E8"/>
      <c r="F8" s="33" t="str">
        <f t="shared" si="0"/>
        <v>ConfigEstadios!$E$8</v>
      </c>
    </row>
    <row r="9" spans="1:10" ht="227.25" customHeight="1" x14ac:dyDescent="0.25">
      <c r="A9" s="33" t="s">
        <v>149</v>
      </c>
      <c r="B9" s="33">
        <v>2013</v>
      </c>
      <c r="C9" s="33" t="s">
        <v>162</v>
      </c>
      <c r="D9" s="36">
        <v>47659</v>
      </c>
      <c r="E9"/>
      <c r="F9" s="33" t="str">
        <f t="shared" si="0"/>
        <v>ConfigEstadios!$E$9</v>
      </c>
    </row>
    <row r="10" spans="1:10" ht="227.25" customHeight="1" x14ac:dyDescent="0.25">
      <c r="A10" s="33" t="s">
        <v>150</v>
      </c>
      <c r="B10" s="33">
        <v>2018</v>
      </c>
      <c r="C10" s="33" t="s">
        <v>164</v>
      </c>
      <c r="D10" s="36">
        <v>43702</v>
      </c>
      <c r="E10"/>
      <c r="F10" s="33" t="str">
        <f t="shared" si="0"/>
        <v>ConfigEstadios!$E$10</v>
      </c>
    </row>
    <row r="11" spans="1:10" ht="227.25" customHeight="1" x14ac:dyDescent="0.25">
      <c r="A11" s="33" t="s">
        <v>151</v>
      </c>
      <c r="B11" s="33">
        <v>2018</v>
      </c>
      <c r="C11" s="33" t="s">
        <v>163</v>
      </c>
      <c r="D11" s="36">
        <v>45012</v>
      </c>
      <c r="E11"/>
      <c r="F11" s="33" t="str">
        <f t="shared" si="0"/>
        <v>ConfigEstadios!$E$11</v>
      </c>
    </row>
    <row r="12" spans="1:10" ht="227.25" customHeight="1" x14ac:dyDescent="0.25">
      <c r="A12" s="33" t="s">
        <v>152</v>
      </c>
      <c r="B12" s="33">
        <v>2018</v>
      </c>
      <c r="C12" s="33" t="s">
        <v>160</v>
      </c>
      <c r="D12" s="36">
        <v>44918</v>
      </c>
      <c r="E12"/>
      <c r="F12" s="33" t="str">
        <f t="shared" si="0"/>
        <v>ConfigEstadios!$E$12</v>
      </c>
    </row>
    <row r="13" spans="1:10" ht="227.25" customHeight="1" x14ac:dyDescent="0.25">
      <c r="A13" s="33" t="s">
        <v>153</v>
      </c>
      <c r="B13" s="33">
        <v>2013</v>
      </c>
      <c r="C13" s="33" t="s">
        <v>161</v>
      </c>
      <c r="D13" s="36">
        <v>45105</v>
      </c>
      <c r="E13"/>
      <c r="F13" s="33" t="str">
        <f t="shared" si="0"/>
        <v>ConfigEstadios!$E$13</v>
      </c>
    </row>
  </sheetData>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G85"/>
  <sheetViews>
    <sheetView workbookViewId="0">
      <selection activeCell="F19" sqref="F19"/>
    </sheetView>
  </sheetViews>
  <sheetFormatPr baseColWidth="10" defaultRowHeight="15" x14ac:dyDescent="0.25"/>
  <cols>
    <col min="1" max="1" width="11.42578125" customWidth="1"/>
    <col min="2" max="2" width="15.7109375" bestFit="1" customWidth="1"/>
    <col min="5" max="5" width="11.42578125" customWidth="1"/>
    <col min="6" max="6" width="11.42578125" style="39"/>
  </cols>
  <sheetData>
    <row r="1" spans="1:7" x14ac:dyDescent="0.25">
      <c r="A1" s="12">
        <f>C1-B1</f>
        <v>-4.1666666666666671E-2</v>
      </c>
      <c r="B1" s="12">
        <v>0.125</v>
      </c>
      <c r="C1" s="38" t="str">
        <f>INDEX(ConfigHorarios!$F$2:$F$62,MATCH(Portada!B26,ConfigHorarios!$G$2:$G$62,0))</f>
        <v>2:00</v>
      </c>
      <c r="D1" s="12">
        <f>(C1-B1)*24</f>
        <v>-1</v>
      </c>
      <c r="F1" s="40" t="s">
        <v>478</v>
      </c>
      <c r="G1" t="s">
        <v>477</v>
      </c>
    </row>
    <row r="2" spans="1:7" x14ac:dyDescent="0.25">
      <c r="A2" s="18">
        <f>B2+(C2+$A$1)</f>
        <v>43265.708333333336</v>
      </c>
      <c r="B2" s="13">
        <v>43265</v>
      </c>
      <c r="C2" s="12">
        <v>0.75</v>
      </c>
      <c r="D2" s="12"/>
      <c r="E2" s="18"/>
      <c r="F2" s="39" t="s">
        <v>479</v>
      </c>
      <c r="G2" t="s">
        <v>416</v>
      </c>
    </row>
    <row r="3" spans="1:7" x14ac:dyDescent="0.25">
      <c r="A3" s="18">
        <f t="shared" ref="A3:A69" si="0">B3+(C3+$A$1)</f>
        <v>43266.583333333336</v>
      </c>
      <c r="B3" s="13">
        <v>43266</v>
      </c>
      <c r="C3" s="12">
        <v>0.625</v>
      </c>
      <c r="F3" s="39" t="s">
        <v>480</v>
      </c>
      <c r="G3" t="s">
        <v>417</v>
      </c>
    </row>
    <row r="4" spans="1:7" x14ac:dyDescent="0.25">
      <c r="A4" s="18">
        <f t="shared" si="0"/>
        <v>43266.708333333336</v>
      </c>
      <c r="B4" s="13">
        <v>43266</v>
      </c>
      <c r="C4" s="12">
        <v>0.75</v>
      </c>
      <c r="F4" s="39" t="s">
        <v>481</v>
      </c>
      <c r="G4" t="s">
        <v>418</v>
      </c>
    </row>
    <row r="5" spans="1:7" x14ac:dyDescent="0.25">
      <c r="A5" s="18">
        <f t="shared" si="0"/>
        <v>43266.833333333336</v>
      </c>
      <c r="B5" s="13">
        <v>43266</v>
      </c>
      <c r="C5" s="12">
        <v>0.875</v>
      </c>
      <c r="F5" s="39" t="s">
        <v>481</v>
      </c>
      <c r="G5" t="s">
        <v>419</v>
      </c>
    </row>
    <row r="6" spans="1:7" x14ac:dyDescent="0.25">
      <c r="A6" s="18">
        <f t="shared" si="0"/>
        <v>43267.5</v>
      </c>
      <c r="B6" s="13">
        <v>43267</v>
      </c>
      <c r="C6" s="12">
        <v>0.54166666666666663</v>
      </c>
      <c r="F6" s="39" t="s">
        <v>481</v>
      </c>
      <c r="G6" t="s">
        <v>420</v>
      </c>
    </row>
    <row r="7" spans="1:7" x14ac:dyDescent="0.25">
      <c r="A7" s="18">
        <f t="shared" si="0"/>
        <v>43267.75</v>
      </c>
      <c r="B7" s="13">
        <v>43267</v>
      </c>
      <c r="C7" s="12">
        <v>0.79166666666666663</v>
      </c>
      <c r="F7" s="38">
        <v>0.39583333333333331</v>
      </c>
      <c r="G7" t="s">
        <v>421</v>
      </c>
    </row>
    <row r="8" spans="1:7" x14ac:dyDescent="0.25">
      <c r="A8" s="18">
        <f t="shared" si="0"/>
        <v>43267.625</v>
      </c>
      <c r="B8" s="13">
        <v>43267</v>
      </c>
      <c r="C8" s="12">
        <v>0.66666666666666663</v>
      </c>
      <c r="F8" s="39" t="s">
        <v>482</v>
      </c>
      <c r="G8" t="s">
        <v>422</v>
      </c>
    </row>
    <row r="9" spans="1:7" x14ac:dyDescent="0.25">
      <c r="A9" s="18">
        <f t="shared" si="0"/>
        <v>43267.875</v>
      </c>
      <c r="B9" s="13">
        <v>43267</v>
      </c>
      <c r="C9" s="12">
        <v>0.91666666666666663</v>
      </c>
      <c r="F9" s="39" t="s">
        <v>482</v>
      </c>
      <c r="G9" t="s">
        <v>423</v>
      </c>
    </row>
    <row r="10" spans="1:7" x14ac:dyDescent="0.25">
      <c r="A10" s="18">
        <f t="shared" si="0"/>
        <v>43268.583333333336</v>
      </c>
      <c r="B10" s="13">
        <v>43268</v>
      </c>
      <c r="C10" s="12">
        <v>0.625</v>
      </c>
      <c r="F10" s="39" t="s">
        <v>483</v>
      </c>
      <c r="G10" t="s">
        <v>424</v>
      </c>
    </row>
    <row r="11" spans="1:7" x14ac:dyDescent="0.25">
      <c r="A11" s="18">
        <f t="shared" si="0"/>
        <v>43268.833333333336</v>
      </c>
      <c r="B11" s="13">
        <v>43268</v>
      </c>
      <c r="C11" s="12">
        <v>0.875</v>
      </c>
      <c r="F11" s="39" t="s">
        <v>483</v>
      </c>
      <c r="G11" t="s">
        <v>425</v>
      </c>
    </row>
    <row r="12" spans="1:7" x14ac:dyDescent="0.25">
      <c r="A12" s="18">
        <f t="shared" si="0"/>
        <v>43268.708333333336</v>
      </c>
      <c r="B12" s="13">
        <v>43268</v>
      </c>
      <c r="C12" s="12">
        <v>0.75</v>
      </c>
      <c r="F12" s="39" t="s">
        <v>483</v>
      </c>
      <c r="G12" t="s">
        <v>426</v>
      </c>
    </row>
    <row r="13" spans="1:7" x14ac:dyDescent="0.25">
      <c r="A13" s="18">
        <f t="shared" si="0"/>
        <v>43269.583333333336</v>
      </c>
      <c r="B13" s="13">
        <v>43269</v>
      </c>
      <c r="C13" s="12">
        <v>0.625</v>
      </c>
      <c r="F13" s="39" t="s">
        <v>483</v>
      </c>
      <c r="G13" t="s">
        <v>427</v>
      </c>
    </row>
    <row r="14" spans="1:7" x14ac:dyDescent="0.25">
      <c r="A14" s="18">
        <f t="shared" si="0"/>
        <v>43269.708333333336</v>
      </c>
      <c r="B14" s="13">
        <v>43269</v>
      </c>
      <c r="C14" s="12">
        <v>0.75</v>
      </c>
      <c r="F14" s="39" t="s">
        <v>484</v>
      </c>
      <c r="G14" t="s">
        <v>428</v>
      </c>
    </row>
    <row r="15" spans="1:7" x14ac:dyDescent="0.25">
      <c r="A15" s="18">
        <f t="shared" si="0"/>
        <v>43269.833333333336</v>
      </c>
      <c r="B15" s="13">
        <v>43269</v>
      </c>
      <c r="C15" s="12">
        <v>0.875</v>
      </c>
      <c r="F15" s="39" t="s">
        <v>484</v>
      </c>
      <c r="G15" t="s">
        <v>429</v>
      </c>
    </row>
    <row r="16" spans="1:7" x14ac:dyDescent="0.25">
      <c r="A16" s="18">
        <f t="shared" si="0"/>
        <v>43270.583333333336</v>
      </c>
      <c r="B16" s="13">
        <v>43270</v>
      </c>
      <c r="C16" s="12">
        <v>0.625</v>
      </c>
      <c r="F16" s="39" t="s">
        <v>484</v>
      </c>
      <c r="G16" t="s">
        <v>430</v>
      </c>
    </row>
    <row r="17" spans="1:7" x14ac:dyDescent="0.25">
      <c r="A17" s="18">
        <f t="shared" si="0"/>
        <v>43270.708333333336</v>
      </c>
      <c r="B17" s="13">
        <v>43270</v>
      </c>
      <c r="C17" s="12">
        <v>0.75</v>
      </c>
      <c r="F17" s="39" t="s">
        <v>485</v>
      </c>
      <c r="G17" t="s">
        <v>431</v>
      </c>
    </row>
    <row r="18" spans="1:7" x14ac:dyDescent="0.25">
      <c r="A18" s="18">
        <f t="shared" si="0"/>
        <v>43270.833333333336</v>
      </c>
      <c r="B18" s="13">
        <v>43270</v>
      </c>
      <c r="C18" s="12">
        <v>0.875</v>
      </c>
      <c r="F18" s="38">
        <v>0.22916666666666666</v>
      </c>
      <c r="G18" t="s">
        <v>432</v>
      </c>
    </row>
    <row r="19" spans="1:7" x14ac:dyDescent="0.25">
      <c r="A19" s="18">
        <f t="shared" si="0"/>
        <v>43271.708333333336</v>
      </c>
      <c r="B19" s="13">
        <v>43271</v>
      </c>
      <c r="C19" s="12">
        <v>0.75</v>
      </c>
      <c r="F19" s="38">
        <v>0.22916666666666666</v>
      </c>
      <c r="G19" t="s">
        <v>433</v>
      </c>
    </row>
    <row r="20" spans="1:7" x14ac:dyDescent="0.25">
      <c r="A20" s="18">
        <f t="shared" si="0"/>
        <v>43271.583333333336</v>
      </c>
      <c r="B20" s="13">
        <v>43271</v>
      </c>
      <c r="C20" s="12">
        <v>0.625</v>
      </c>
      <c r="F20" s="39" t="s">
        <v>486</v>
      </c>
      <c r="G20" t="s">
        <v>434</v>
      </c>
    </row>
    <row r="21" spans="1:7" x14ac:dyDescent="0.25">
      <c r="A21" s="18">
        <f t="shared" si="0"/>
        <v>43271.833333333336</v>
      </c>
      <c r="B21" s="13">
        <v>43271</v>
      </c>
      <c r="C21" s="12">
        <v>0.875</v>
      </c>
      <c r="F21" s="39" t="s">
        <v>486</v>
      </c>
      <c r="G21" t="s">
        <v>435</v>
      </c>
    </row>
    <row r="22" spans="1:7" x14ac:dyDescent="0.25">
      <c r="A22" s="18">
        <f t="shared" si="0"/>
        <v>43272.708333333336</v>
      </c>
      <c r="B22" s="13">
        <v>43272</v>
      </c>
      <c r="C22" s="12">
        <v>0.75</v>
      </c>
      <c r="F22" s="39" t="s">
        <v>487</v>
      </c>
      <c r="G22" t="s">
        <v>436</v>
      </c>
    </row>
    <row r="23" spans="1:7" x14ac:dyDescent="0.25">
      <c r="A23" s="18">
        <f t="shared" si="0"/>
        <v>43272.583333333336</v>
      </c>
      <c r="B23" s="13">
        <v>43272</v>
      </c>
      <c r="C23" s="12">
        <v>0.625</v>
      </c>
      <c r="F23" s="39" t="s">
        <v>487</v>
      </c>
      <c r="G23" t="s">
        <v>437</v>
      </c>
    </row>
    <row r="24" spans="1:7" x14ac:dyDescent="0.25">
      <c r="A24" s="18">
        <f t="shared" si="0"/>
        <v>43272.833333333336</v>
      </c>
      <c r="B24" s="13">
        <v>43272</v>
      </c>
      <c r="C24" s="12">
        <v>0.875</v>
      </c>
      <c r="F24" s="39" t="s">
        <v>487</v>
      </c>
      <c r="G24" t="s">
        <v>438</v>
      </c>
    </row>
    <row r="25" spans="1:7" x14ac:dyDescent="0.25">
      <c r="A25" s="18">
        <f t="shared" si="0"/>
        <v>43273.708333333336</v>
      </c>
      <c r="B25" s="13">
        <v>43273</v>
      </c>
      <c r="C25" s="12">
        <v>0.75</v>
      </c>
      <c r="F25" s="39" t="s">
        <v>487</v>
      </c>
      <c r="G25" t="s">
        <v>439</v>
      </c>
    </row>
    <row r="26" spans="1:7" x14ac:dyDescent="0.25">
      <c r="A26" s="18">
        <f t="shared" si="0"/>
        <v>43273.583333333336</v>
      </c>
      <c r="B26" s="13">
        <v>43273</v>
      </c>
      <c r="C26" s="12">
        <v>0.625</v>
      </c>
      <c r="F26" s="39" t="s">
        <v>488</v>
      </c>
      <c r="G26" t="s">
        <v>440</v>
      </c>
    </row>
    <row r="27" spans="1:7" x14ac:dyDescent="0.25">
      <c r="A27" s="18">
        <f t="shared" si="0"/>
        <v>43273.791666666664</v>
      </c>
      <c r="B27" s="13">
        <v>43273</v>
      </c>
      <c r="C27" s="12">
        <v>0.83333333333333337</v>
      </c>
      <c r="F27" s="39" t="s">
        <v>488</v>
      </c>
      <c r="G27" t="s">
        <v>441</v>
      </c>
    </row>
    <row r="28" spans="1:7" x14ac:dyDescent="0.25">
      <c r="A28" s="18">
        <f t="shared" si="0"/>
        <v>43274.833333333336</v>
      </c>
      <c r="B28" s="13">
        <v>43274</v>
      </c>
      <c r="C28" s="12">
        <v>0.875</v>
      </c>
      <c r="F28" s="39" t="s">
        <v>488</v>
      </c>
      <c r="G28" t="s">
        <v>442</v>
      </c>
    </row>
    <row r="29" spans="1:7" x14ac:dyDescent="0.25">
      <c r="A29" s="18">
        <f t="shared" si="0"/>
        <v>43274.708333333336</v>
      </c>
      <c r="B29" s="13">
        <v>43274</v>
      </c>
      <c r="C29" s="12">
        <v>0.75</v>
      </c>
      <c r="F29" s="39" t="s">
        <v>488</v>
      </c>
      <c r="G29" t="s">
        <v>443</v>
      </c>
    </row>
    <row r="30" spans="1:7" x14ac:dyDescent="0.25">
      <c r="A30" s="18">
        <f t="shared" si="0"/>
        <v>43274.583333333336</v>
      </c>
      <c r="B30" s="13">
        <v>43274</v>
      </c>
      <c r="C30" s="12">
        <v>0.625</v>
      </c>
      <c r="F30" s="39" t="s">
        <v>489</v>
      </c>
      <c r="G30" t="s">
        <v>444</v>
      </c>
    </row>
    <row r="31" spans="1:7" x14ac:dyDescent="0.25">
      <c r="A31" s="18">
        <f t="shared" si="0"/>
        <v>43275.583333333336</v>
      </c>
      <c r="B31" s="13">
        <v>43275</v>
      </c>
      <c r="C31" s="12">
        <v>0.625</v>
      </c>
      <c r="F31" s="39" t="s">
        <v>489</v>
      </c>
      <c r="G31" t="s">
        <v>445</v>
      </c>
    </row>
    <row r="32" spans="1:7" x14ac:dyDescent="0.25">
      <c r="A32" s="18">
        <f t="shared" si="0"/>
        <v>43275.833333333336</v>
      </c>
      <c r="B32" s="13">
        <v>43275</v>
      </c>
      <c r="C32" s="12">
        <v>0.875</v>
      </c>
      <c r="F32" s="39" t="s">
        <v>489</v>
      </c>
      <c r="G32" t="s">
        <v>446</v>
      </c>
    </row>
    <row r="33" spans="1:7" x14ac:dyDescent="0.25">
      <c r="A33" s="18">
        <f t="shared" si="0"/>
        <v>43275.708333333336</v>
      </c>
      <c r="B33" s="13">
        <v>43275</v>
      </c>
      <c r="C33" s="12">
        <v>0.75</v>
      </c>
      <c r="F33" s="39" t="s">
        <v>489</v>
      </c>
      <c r="G33" t="s">
        <v>447</v>
      </c>
    </row>
    <row r="34" spans="1:7" x14ac:dyDescent="0.25">
      <c r="A34" s="18">
        <f t="shared" si="0"/>
        <v>43276.666666666664</v>
      </c>
      <c r="B34" s="13">
        <v>43276</v>
      </c>
      <c r="C34" s="12">
        <v>0.70833333333333337</v>
      </c>
      <c r="F34" s="39" t="s">
        <v>489</v>
      </c>
      <c r="G34" t="s">
        <v>448</v>
      </c>
    </row>
    <row r="35" spans="1:7" x14ac:dyDescent="0.25">
      <c r="A35" s="18">
        <f t="shared" si="0"/>
        <v>43276.666666666664</v>
      </c>
      <c r="B35" s="13">
        <v>43276</v>
      </c>
      <c r="C35" s="12">
        <v>0.70833333333333337</v>
      </c>
      <c r="F35" s="39" t="s">
        <v>489</v>
      </c>
      <c r="G35" t="s">
        <v>449</v>
      </c>
    </row>
    <row r="36" spans="1:7" x14ac:dyDescent="0.25">
      <c r="A36" s="18">
        <f t="shared" si="0"/>
        <v>43276.833333333336</v>
      </c>
      <c r="B36" s="13">
        <v>43276</v>
      </c>
      <c r="C36" s="12">
        <v>0.875</v>
      </c>
      <c r="F36" s="39" t="s">
        <v>489</v>
      </c>
      <c r="G36" t="s">
        <v>450</v>
      </c>
    </row>
    <row r="37" spans="1:7" x14ac:dyDescent="0.25">
      <c r="A37" s="18">
        <f t="shared" si="0"/>
        <v>43276.833333333336</v>
      </c>
      <c r="B37" s="13">
        <v>43276</v>
      </c>
      <c r="C37" s="12">
        <v>0.875</v>
      </c>
      <c r="F37" s="39" t="s">
        <v>489</v>
      </c>
      <c r="G37" t="s">
        <v>451</v>
      </c>
    </row>
    <row r="38" spans="1:7" x14ac:dyDescent="0.25">
      <c r="A38" s="18">
        <f t="shared" si="0"/>
        <v>43277.666666666664</v>
      </c>
      <c r="B38" s="13">
        <v>43277</v>
      </c>
      <c r="C38" s="12">
        <v>0.70833333333333337</v>
      </c>
      <c r="F38" s="39" t="s">
        <v>489</v>
      </c>
      <c r="G38" t="s">
        <v>452</v>
      </c>
    </row>
    <row r="39" spans="1:7" x14ac:dyDescent="0.25">
      <c r="A39" s="18">
        <f t="shared" si="0"/>
        <v>43277.666666666664</v>
      </c>
      <c r="B39" s="13">
        <v>43277</v>
      </c>
      <c r="C39" s="12">
        <v>0.70833333333333337</v>
      </c>
      <c r="F39" s="39" t="s">
        <v>490</v>
      </c>
      <c r="G39" t="s">
        <v>453</v>
      </c>
    </row>
    <row r="40" spans="1:7" x14ac:dyDescent="0.25">
      <c r="A40" s="18">
        <f t="shared" si="0"/>
        <v>43277.833333333336</v>
      </c>
      <c r="B40" s="13">
        <v>43277</v>
      </c>
      <c r="C40" s="12">
        <v>0.875</v>
      </c>
      <c r="F40" s="39" t="s">
        <v>490</v>
      </c>
      <c r="G40" t="s">
        <v>454</v>
      </c>
    </row>
    <row r="41" spans="1:7" x14ac:dyDescent="0.25">
      <c r="A41" s="18">
        <f t="shared" si="0"/>
        <v>43277.833333333336</v>
      </c>
      <c r="B41" s="13">
        <v>43277</v>
      </c>
      <c r="C41" s="12">
        <v>0.875</v>
      </c>
      <c r="F41" s="39" t="s">
        <v>490</v>
      </c>
      <c r="G41" t="s">
        <v>455</v>
      </c>
    </row>
    <row r="42" spans="1:7" x14ac:dyDescent="0.25">
      <c r="A42" s="18">
        <f t="shared" si="0"/>
        <v>43278.833333333336</v>
      </c>
      <c r="B42" s="13">
        <v>43278</v>
      </c>
      <c r="C42" s="12">
        <v>0.875</v>
      </c>
      <c r="F42" s="39" t="s">
        <v>491</v>
      </c>
      <c r="G42" t="s">
        <v>456</v>
      </c>
    </row>
    <row r="43" spans="1:7" x14ac:dyDescent="0.25">
      <c r="A43" s="18">
        <f t="shared" si="0"/>
        <v>43278.833333333336</v>
      </c>
      <c r="B43" s="13">
        <v>43278</v>
      </c>
      <c r="C43" s="12">
        <v>0.875</v>
      </c>
      <c r="F43" s="39" t="s">
        <v>491</v>
      </c>
      <c r="G43" t="s">
        <v>457</v>
      </c>
    </row>
    <row r="44" spans="1:7" x14ac:dyDescent="0.25">
      <c r="A44" s="18">
        <f t="shared" si="0"/>
        <v>43278.666666666664</v>
      </c>
      <c r="B44" s="13">
        <v>43278</v>
      </c>
      <c r="C44" s="12">
        <v>0.70833333333333337</v>
      </c>
      <c r="F44" s="39" t="s">
        <v>491</v>
      </c>
      <c r="G44" t="s">
        <v>458</v>
      </c>
    </row>
    <row r="45" spans="1:7" x14ac:dyDescent="0.25">
      <c r="A45" s="18">
        <f t="shared" si="0"/>
        <v>43278.666666666664</v>
      </c>
      <c r="B45" s="13">
        <v>43278</v>
      </c>
      <c r="C45" s="12">
        <v>0.70833333333333337</v>
      </c>
      <c r="F45" s="39" t="s">
        <v>492</v>
      </c>
      <c r="G45" t="s">
        <v>459</v>
      </c>
    </row>
    <row r="46" spans="1:7" x14ac:dyDescent="0.25">
      <c r="A46" s="18">
        <f t="shared" si="0"/>
        <v>43279.833333333336</v>
      </c>
      <c r="B46" s="13">
        <v>43279</v>
      </c>
      <c r="C46" s="12">
        <v>0.875</v>
      </c>
      <c r="F46" s="39" t="s">
        <v>493</v>
      </c>
      <c r="G46" t="s">
        <v>460</v>
      </c>
    </row>
    <row r="47" spans="1:7" x14ac:dyDescent="0.25">
      <c r="A47" s="18">
        <f t="shared" si="0"/>
        <v>43279.833333333336</v>
      </c>
      <c r="B47" s="13">
        <v>43279</v>
      </c>
      <c r="C47" s="12">
        <v>0.875</v>
      </c>
      <c r="F47" s="39" t="s">
        <v>493</v>
      </c>
      <c r="G47" s="37" t="s">
        <v>461</v>
      </c>
    </row>
    <row r="48" spans="1:7" x14ac:dyDescent="0.25">
      <c r="A48" s="18">
        <f t="shared" si="0"/>
        <v>43279.666666666664</v>
      </c>
      <c r="B48" s="14">
        <v>43279</v>
      </c>
      <c r="C48" s="12">
        <v>0.70833333333333337</v>
      </c>
      <c r="F48" s="39" t="s">
        <v>494</v>
      </c>
      <c r="G48" t="s">
        <v>462</v>
      </c>
    </row>
    <row r="49" spans="1:7" x14ac:dyDescent="0.25">
      <c r="A49" s="18">
        <f t="shared" si="0"/>
        <v>43279.666666666664</v>
      </c>
      <c r="B49" s="15">
        <v>43279</v>
      </c>
      <c r="C49" s="12">
        <v>0.70833333333333337</v>
      </c>
      <c r="F49" s="39" t="s">
        <v>494</v>
      </c>
      <c r="G49" t="s">
        <v>463</v>
      </c>
    </row>
    <row r="50" spans="1:7" x14ac:dyDescent="0.25">
      <c r="A50" s="18">
        <f t="shared" si="0"/>
        <v>43281.833333333336</v>
      </c>
      <c r="B50" s="13">
        <v>43281</v>
      </c>
      <c r="C50" s="12">
        <v>0.875</v>
      </c>
      <c r="D50" s="12"/>
      <c r="F50" s="39" t="s">
        <v>494</v>
      </c>
      <c r="G50" t="s">
        <v>464</v>
      </c>
    </row>
    <row r="51" spans="1:7" x14ac:dyDescent="0.25">
      <c r="A51" s="18">
        <f t="shared" si="0"/>
        <v>43281.666666666664</v>
      </c>
      <c r="B51" s="13">
        <v>43281</v>
      </c>
      <c r="C51" s="12">
        <v>0.70833333333333337</v>
      </c>
      <c r="D51" s="12"/>
      <c r="F51" s="39" t="s">
        <v>494</v>
      </c>
      <c r="G51" t="s">
        <v>465</v>
      </c>
    </row>
    <row r="52" spans="1:7" x14ac:dyDescent="0.25">
      <c r="A52" s="18">
        <f t="shared" si="0"/>
        <v>43283.666666666664</v>
      </c>
      <c r="B52" s="13">
        <v>43283</v>
      </c>
      <c r="C52" s="12">
        <v>0.70833333333333337</v>
      </c>
      <c r="D52" s="12"/>
      <c r="F52" s="39" t="s">
        <v>494</v>
      </c>
      <c r="G52" t="s">
        <v>466</v>
      </c>
    </row>
    <row r="53" spans="1:7" x14ac:dyDescent="0.25">
      <c r="A53" s="18">
        <f t="shared" si="0"/>
        <v>43283.833333333336</v>
      </c>
      <c r="B53" s="13">
        <v>43283</v>
      </c>
      <c r="C53" s="12">
        <v>0.875</v>
      </c>
      <c r="D53" s="12"/>
      <c r="F53" s="39" t="s">
        <v>494</v>
      </c>
      <c r="G53" t="s">
        <v>467</v>
      </c>
    </row>
    <row r="54" spans="1:7" x14ac:dyDescent="0.25">
      <c r="A54" s="18">
        <f t="shared" si="0"/>
        <v>43282.666666666664</v>
      </c>
      <c r="B54" s="13">
        <v>43282</v>
      </c>
      <c r="C54" s="12">
        <v>0.70833333333333337</v>
      </c>
      <c r="D54" s="12"/>
      <c r="F54" s="39" t="s">
        <v>495</v>
      </c>
      <c r="G54" t="s">
        <v>468</v>
      </c>
    </row>
    <row r="55" spans="1:7" x14ac:dyDescent="0.25">
      <c r="A55" s="18">
        <f t="shared" si="0"/>
        <v>43282.833333333336</v>
      </c>
      <c r="B55" s="13">
        <v>43282</v>
      </c>
      <c r="C55" s="12">
        <v>0.875</v>
      </c>
      <c r="D55" s="12"/>
      <c r="F55" s="39" t="s">
        <v>495</v>
      </c>
      <c r="G55" t="s">
        <v>469</v>
      </c>
    </row>
    <row r="56" spans="1:7" x14ac:dyDescent="0.25">
      <c r="A56" s="18">
        <f t="shared" si="0"/>
        <v>43284.666666666664</v>
      </c>
      <c r="B56" s="13">
        <v>43284</v>
      </c>
      <c r="C56" s="12">
        <v>0.70833333333333337</v>
      </c>
      <c r="D56" s="12"/>
      <c r="F56" s="39" t="s">
        <v>496</v>
      </c>
      <c r="G56" t="s">
        <v>470</v>
      </c>
    </row>
    <row r="57" spans="1:7" x14ac:dyDescent="0.25">
      <c r="A57" s="18">
        <f t="shared" si="0"/>
        <v>43284.833333333336</v>
      </c>
      <c r="B57" s="13">
        <v>43284</v>
      </c>
      <c r="C57" s="12">
        <v>0.875</v>
      </c>
      <c r="D57" s="12"/>
      <c r="F57" s="39" t="s">
        <v>497</v>
      </c>
      <c r="G57" t="s">
        <v>471</v>
      </c>
    </row>
    <row r="58" spans="1:7" x14ac:dyDescent="0.25">
      <c r="A58" s="18"/>
      <c r="B58" s="13"/>
      <c r="C58" s="12"/>
      <c r="D58" s="12" t="s">
        <v>168</v>
      </c>
      <c r="F58" s="39" t="s">
        <v>497</v>
      </c>
      <c r="G58" t="s">
        <v>472</v>
      </c>
    </row>
    <row r="59" spans="1:7" x14ac:dyDescent="0.25">
      <c r="A59" s="18">
        <f t="shared" si="0"/>
        <v>43287.666666666664</v>
      </c>
      <c r="B59" s="13">
        <v>43287</v>
      </c>
      <c r="C59" s="12">
        <v>0.70833333333333337</v>
      </c>
      <c r="D59" s="12"/>
      <c r="F59" s="39" t="s">
        <v>498</v>
      </c>
      <c r="G59" t="s">
        <v>473</v>
      </c>
    </row>
    <row r="60" spans="1:7" x14ac:dyDescent="0.25">
      <c r="A60" s="18">
        <f t="shared" si="0"/>
        <v>43287.833333333336</v>
      </c>
      <c r="B60" s="13">
        <v>43287</v>
      </c>
      <c r="C60" s="12">
        <v>0.875</v>
      </c>
      <c r="D60" s="12"/>
      <c r="F60" s="39" t="s">
        <v>498</v>
      </c>
      <c r="G60" t="s">
        <v>474</v>
      </c>
    </row>
    <row r="61" spans="1:7" x14ac:dyDescent="0.25">
      <c r="A61" s="18">
        <f t="shared" si="0"/>
        <v>43288.833333333336</v>
      </c>
      <c r="B61" s="13">
        <v>43288</v>
      </c>
      <c r="C61" s="12">
        <v>0.875</v>
      </c>
      <c r="D61" s="12"/>
      <c r="F61" s="39" t="s">
        <v>499</v>
      </c>
      <c r="G61" t="s">
        <v>475</v>
      </c>
    </row>
    <row r="62" spans="1:7" x14ac:dyDescent="0.25">
      <c r="A62" s="18">
        <f t="shared" si="0"/>
        <v>43288.666666666664</v>
      </c>
      <c r="B62" s="13">
        <v>43288</v>
      </c>
      <c r="C62" s="12">
        <v>0.70833333333333337</v>
      </c>
      <c r="D62" s="12"/>
      <c r="F62" s="39">
        <v>-11</v>
      </c>
      <c r="G62" t="s">
        <v>476</v>
      </c>
    </row>
    <row r="63" spans="1:7" x14ac:dyDescent="0.25">
      <c r="A63" s="18"/>
      <c r="B63" s="13"/>
      <c r="C63" s="12"/>
      <c r="D63" s="12"/>
    </row>
    <row r="64" spans="1:7" x14ac:dyDescent="0.25">
      <c r="A64" s="18">
        <f t="shared" si="0"/>
        <v>43291.833333333336</v>
      </c>
      <c r="B64" s="13">
        <v>43291</v>
      </c>
      <c r="C64" s="12">
        <v>0.875</v>
      </c>
      <c r="D64" s="12"/>
    </row>
    <row r="65" spans="1:4" x14ac:dyDescent="0.25">
      <c r="A65" s="18">
        <f t="shared" si="0"/>
        <v>43292.833333333336</v>
      </c>
      <c r="B65" s="13">
        <v>43292</v>
      </c>
      <c r="C65" s="12">
        <v>0.875</v>
      </c>
      <c r="D65" s="12"/>
    </row>
    <row r="66" spans="1:4" x14ac:dyDescent="0.25">
      <c r="A66" s="18"/>
      <c r="B66" s="13"/>
      <c r="C66" s="12"/>
      <c r="D66" s="12"/>
    </row>
    <row r="67" spans="1:4" x14ac:dyDescent="0.25">
      <c r="A67" s="18">
        <f t="shared" si="0"/>
        <v>43295.666666666664</v>
      </c>
      <c r="B67" s="13">
        <v>43295</v>
      </c>
      <c r="C67" s="12">
        <v>0.70833333333333337</v>
      </c>
      <c r="D67" s="12"/>
    </row>
    <row r="68" spans="1:4" x14ac:dyDescent="0.25">
      <c r="A68" s="18"/>
      <c r="B68" s="13"/>
      <c r="C68" s="12"/>
      <c r="D68" s="12"/>
    </row>
    <row r="69" spans="1:4" x14ac:dyDescent="0.25">
      <c r="A69" s="18">
        <f t="shared" si="0"/>
        <v>43296.708333333336</v>
      </c>
      <c r="B69" s="13">
        <v>43296</v>
      </c>
      <c r="C69" s="12">
        <v>0.75</v>
      </c>
      <c r="D69" s="12"/>
    </row>
    <row r="70" spans="1:4" x14ac:dyDescent="0.25">
      <c r="C70" s="11"/>
    </row>
    <row r="71" spans="1:4" x14ac:dyDescent="0.25">
      <c r="C71" s="11"/>
    </row>
    <row r="72" spans="1:4" x14ac:dyDescent="0.25">
      <c r="C72" s="11"/>
    </row>
    <row r="73" spans="1:4" x14ac:dyDescent="0.25">
      <c r="C73" s="11"/>
    </row>
    <row r="74" spans="1:4" x14ac:dyDescent="0.25">
      <c r="C74" s="11"/>
    </row>
    <row r="75" spans="1:4" x14ac:dyDescent="0.25">
      <c r="C75" s="11"/>
    </row>
    <row r="76" spans="1:4" x14ac:dyDescent="0.25">
      <c r="C76" s="11"/>
    </row>
    <row r="77" spans="1:4" x14ac:dyDescent="0.25">
      <c r="C77" s="11"/>
    </row>
    <row r="78" spans="1:4" x14ac:dyDescent="0.25">
      <c r="C78" s="11"/>
    </row>
    <row r="79" spans="1:4" x14ac:dyDescent="0.25">
      <c r="C79" s="11"/>
    </row>
    <row r="80" spans="1:4" x14ac:dyDescent="0.25">
      <c r="C80" s="11"/>
    </row>
    <row r="81" spans="3:3" x14ac:dyDescent="0.25">
      <c r="C81" s="11"/>
    </row>
    <row r="82" spans="3:3" x14ac:dyDescent="0.25">
      <c r="C82" s="11"/>
    </row>
    <row r="83" spans="3:3" x14ac:dyDescent="0.25">
      <c r="C83" s="11"/>
    </row>
    <row r="84" spans="3:3" x14ac:dyDescent="0.25">
      <c r="C84" s="11"/>
    </row>
    <row r="85" spans="3:3" x14ac:dyDescent="0.25">
      <c r="C85" s="11"/>
    </row>
  </sheetData>
  <pageMargins left="0.7" right="0.7" top="0.75" bottom="0.75" header="0.3" footer="0.3"/>
  <pageSetup paperSize="9" orientation="portrait" horizontalDpi="0" verticalDpi="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K21"/>
  <sheetViews>
    <sheetView workbookViewId="0">
      <selection activeCell="H33" sqref="H33"/>
    </sheetView>
  </sheetViews>
  <sheetFormatPr baseColWidth="10" defaultRowHeight="15" x14ac:dyDescent="0.25"/>
  <cols>
    <col min="1" max="3" width="11.42578125" style="1"/>
  </cols>
  <sheetData>
    <row r="1" spans="1:11" s="1" customFormat="1" x14ac:dyDescent="0.25">
      <c r="C1" s="1" t="s">
        <v>51</v>
      </c>
      <c r="D1" s="1">
        <v>2</v>
      </c>
      <c r="E1" s="1">
        <v>2</v>
      </c>
      <c r="F1" s="1">
        <v>3</v>
      </c>
      <c r="G1" s="1">
        <v>3</v>
      </c>
      <c r="H1" s="1">
        <v>4</v>
      </c>
      <c r="I1" s="1">
        <v>4</v>
      </c>
      <c r="J1" s="1">
        <v>5</v>
      </c>
      <c r="K1" s="1">
        <v>5</v>
      </c>
    </row>
    <row r="2" spans="1:11" x14ac:dyDescent="0.25">
      <c r="A2" s="1">
        <v>1</v>
      </c>
      <c r="H2">
        <v>1</v>
      </c>
      <c r="I2">
        <v>2</v>
      </c>
    </row>
    <row r="3" spans="1:11" x14ac:dyDescent="0.25">
      <c r="A3" s="1">
        <v>2</v>
      </c>
      <c r="H3">
        <v>3</v>
      </c>
      <c r="I3">
        <v>4</v>
      </c>
    </row>
    <row r="4" spans="1:11" x14ac:dyDescent="0.25">
      <c r="A4" s="1">
        <v>3</v>
      </c>
      <c r="H4">
        <v>3</v>
      </c>
      <c r="I4">
        <v>1</v>
      </c>
    </row>
    <row r="5" spans="1:11" x14ac:dyDescent="0.25">
      <c r="A5" s="1">
        <v>4</v>
      </c>
      <c r="H5">
        <v>2</v>
      </c>
      <c r="I5">
        <v>4</v>
      </c>
    </row>
    <row r="6" spans="1:11" x14ac:dyDescent="0.25">
      <c r="A6" s="1">
        <v>5</v>
      </c>
      <c r="H6">
        <v>2</v>
      </c>
      <c r="I6">
        <v>3</v>
      </c>
    </row>
    <row r="7" spans="1:11" x14ac:dyDescent="0.25">
      <c r="A7" s="1">
        <v>6</v>
      </c>
      <c r="H7">
        <v>4</v>
      </c>
      <c r="I7">
        <v>1</v>
      </c>
    </row>
    <row r="8" spans="1:11" x14ac:dyDescent="0.25">
      <c r="A8" s="1">
        <v>7</v>
      </c>
    </row>
    <row r="9" spans="1:11" x14ac:dyDescent="0.25">
      <c r="A9" s="1">
        <v>8</v>
      </c>
    </row>
    <row r="10" spans="1:11" x14ac:dyDescent="0.25">
      <c r="A10" s="1">
        <v>9</v>
      </c>
    </row>
    <row r="11" spans="1:11" x14ac:dyDescent="0.25">
      <c r="A11" s="1">
        <v>10</v>
      </c>
    </row>
    <row r="12" spans="1:11" x14ac:dyDescent="0.25">
      <c r="A12" s="1">
        <v>11</v>
      </c>
    </row>
    <row r="13" spans="1:11" x14ac:dyDescent="0.25">
      <c r="A13" s="1">
        <v>12</v>
      </c>
    </row>
    <row r="14" spans="1:11" x14ac:dyDescent="0.25">
      <c r="A14" s="1">
        <v>13</v>
      </c>
    </row>
    <row r="15" spans="1:11" x14ac:dyDescent="0.25">
      <c r="A15" s="1">
        <v>14</v>
      </c>
    </row>
    <row r="16" spans="1:11" x14ac:dyDescent="0.25">
      <c r="A16" s="1">
        <v>15</v>
      </c>
    </row>
    <row r="17" spans="1:1" x14ac:dyDescent="0.25">
      <c r="A17" s="1">
        <v>16</v>
      </c>
    </row>
    <row r="18" spans="1:1" x14ac:dyDescent="0.25">
      <c r="A18" s="1">
        <v>17</v>
      </c>
    </row>
    <row r="19" spans="1:1" x14ac:dyDescent="0.25">
      <c r="A19" s="1">
        <v>18</v>
      </c>
    </row>
    <row r="20" spans="1:1" x14ac:dyDescent="0.25">
      <c r="A20" s="1">
        <v>19</v>
      </c>
    </row>
    <row r="21" spans="1:1" x14ac:dyDescent="0.25">
      <c r="A21" s="1">
        <v>20</v>
      </c>
    </row>
  </sheetData>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V35"/>
  <sheetViews>
    <sheetView showGridLines="0" showRowColHeaders="0" tabSelected="1" workbookViewId="0"/>
  </sheetViews>
  <sheetFormatPr baseColWidth="10" defaultColWidth="0" defaultRowHeight="15" zeroHeight="1" x14ac:dyDescent="0.25"/>
  <cols>
    <col min="1" max="1" width="3.28515625" style="113" customWidth="1"/>
    <col min="2" max="2" width="14.42578125" style="50" bestFit="1" customWidth="1"/>
    <col min="3" max="4" width="3.28515625" style="50" customWidth="1"/>
    <col min="5" max="5" width="14.42578125" style="50" bestFit="1" customWidth="1"/>
    <col min="6" max="6" width="14.28515625" style="50" customWidth="1"/>
    <col min="7" max="12" width="11.42578125" style="50" customWidth="1"/>
    <col min="13" max="13" width="11.42578125" style="113" customWidth="1"/>
    <col min="14" max="14" width="14.42578125" style="50" bestFit="1" customWidth="1"/>
    <col min="15" max="16" width="3.28515625" style="50" customWidth="1"/>
    <col min="17" max="17" width="14.42578125" style="50" bestFit="1" customWidth="1"/>
    <col min="18" max="18" width="14.28515625" style="50" customWidth="1"/>
    <col min="19" max="19" width="3.28515625" style="50" customWidth="1"/>
    <col min="20" max="22" width="0" style="50" hidden="1" customWidth="1"/>
    <col min="23" max="16384" width="11.42578125" style="50" hidden="1"/>
  </cols>
  <sheetData>
    <row r="1" spans="1:18" ht="60" customHeight="1" x14ac:dyDescent="0.25"/>
    <row r="2" spans="1:18" ht="15" customHeight="1" x14ac:dyDescent="0.25"/>
    <row r="3" spans="1:18" x14ac:dyDescent="0.25">
      <c r="B3" s="113">
        <v>1</v>
      </c>
      <c r="C3" s="113">
        <v>2</v>
      </c>
      <c r="D3" s="113">
        <v>3</v>
      </c>
      <c r="E3" s="113">
        <v>4</v>
      </c>
      <c r="F3" s="113">
        <v>12</v>
      </c>
      <c r="N3" s="113">
        <v>1</v>
      </c>
      <c r="O3" s="113">
        <v>2</v>
      </c>
      <c r="P3" s="113">
        <v>3</v>
      </c>
      <c r="Q3" s="113">
        <v>4</v>
      </c>
      <c r="R3" s="113">
        <v>8</v>
      </c>
    </row>
    <row r="4" spans="1:18" ht="15.75" x14ac:dyDescent="0.25">
      <c r="A4" s="113">
        <v>3</v>
      </c>
      <c r="B4" s="105" t="str">
        <f ca="1">INDEX(FaseGrupos!$P$6:$AA$53,MATCH(Portada!$A4,FaseGrupos!$X$6:$X$53,0),Portada!B$3)</f>
        <v>Inglaterra</v>
      </c>
      <c r="C4" s="105">
        <f ca="1">IF(AND($B4&lt;&gt;"",$E4&lt;&gt;""),INDEX(FaseGrupos!$P$6:$AA$53,MATCH(Portada!$A4,FaseGrupos!$X$6:$X$53,0),Portada!C$3),"")</f>
        <v>0</v>
      </c>
      <c r="D4" s="105">
        <f ca="1">IF(AND($B4&lt;&gt;"",$E4&lt;&gt;""),INDEX(FaseGrupos!$P$6:$AA$53,MATCH(Portada!$A4,FaseGrupos!$X$6:$X$53,0),Portada!D$3),"")</f>
        <v>1</v>
      </c>
      <c r="E4" s="105" t="str">
        <f ca="1">INDEX(FaseGrupos!$P$6:$AA$53,MATCH(Portada!$A4,FaseGrupos!$X$6:$X$53,0),Portada!E$3)</f>
        <v>Bélgica</v>
      </c>
      <c r="F4" s="114">
        <f ca="1">INDEX(FaseGrupos!$P$6:$AA$53,MATCH(Portada!$A4,FaseGrupos!$X$6:$X$53,0),Portada!F$3)</f>
        <v>43279.833333333336</v>
      </c>
      <c r="M4" s="113">
        <v>3</v>
      </c>
      <c r="N4" s="105" t="str">
        <f ca="1">INDEX(Equipos!$G$7:$N$18,MATCH($M4,Equipos!$Q$7:$Q$18,0),Portada!N$3)</f>
        <v>Uruguay</v>
      </c>
      <c r="O4" s="105">
        <f ca="1">IF(AND($N4&lt;&gt;"",$Q4&lt;&gt;""),INDEX(Equipos!$G$7:$N$18,MATCH($M4,Equipos!$Q$7:$Q$18,0),Portada!O$3),"")</f>
        <v>0</v>
      </c>
      <c r="P4" s="105">
        <f ca="1">IF(AND($N4&lt;&gt;"",$Q4&lt;&gt;""),INDEX(Equipos!$G$7:$N$18,MATCH($M4,Equipos!$Q$7:$Q$18,0),Portada!P$3),"")</f>
        <v>2</v>
      </c>
      <c r="Q4" s="105" t="str">
        <f ca="1">INDEX(Equipos!$G$7:$N$18,MATCH($M4,Equipos!$Q$7:$Q$18,0),Portada!Q$3)</f>
        <v>Francia</v>
      </c>
      <c r="R4" s="114">
        <f ca="1">INDEX(Equipos!$G$7:$N$18,MATCH($M4,Equipos!$Q$7:$Q$18,0),Portada!R$3)</f>
        <v>43287.666666666664</v>
      </c>
    </row>
    <row r="5" spans="1:18" ht="15.75" x14ac:dyDescent="0.25">
      <c r="A5" s="113">
        <v>2</v>
      </c>
      <c r="B5" s="105" t="str">
        <f ca="1">INDEX(FaseGrupos!$P$6:$AA$53,MATCH(Portada!$A5,FaseGrupos!$X$6:$X$53,0),Portada!B$3)</f>
        <v>Japón</v>
      </c>
      <c r="C5" s="105">
        <f ca="1">IF(AND($B5&lt;&gt;"",$E5&lt;&gt;""),INDEX(FaseGrupos!$P$6:$AA$53,MATCH(Portada!$A5,FaseGrupos!$X$6:$X$53,0),Portada!C$3),"")</f>
        <v>0</v>
      </c>
      <c r="D5" s="105">
        <f ca="1">IF(AND($B5&lt;&gt;"",$E5&lt;&gt;""),INDEX(FaseGrupos!$P$6:$AA$53,MATCH(Portada!$A5,FaseGrupos!$X$6:$X$53,0),Portada!D$3),"")</f>
        <v>1</v>
      </c>
      <c r="E5" s="105" t="str">
        <f ca="1">INDEX(FaseGrupos!$P$6:$AA$53,MATCH(Portada!$A5,FaseGrupos!$X$6:$X$53,0),Portada!E$3)</f>
        <v>Polonia</v>
      </c>
      <c r="F5" s="114">
        <f ca="1">INDEX(FaseGrupos!$P$6:$AA$53,MATCH(Portada!$A5,FaseGrupos!$X$6:$X$53,0),Portada!F$3)</f>
        <v>43279.666666666664</v>
      </c>
      <c r="M5" s="113">
        <v>2</v>
      </c>
      <c r="N5" s="105" t="str">
        <f ca="1">INDEX(Equipos!$G$7:$N$18,MATCH($M5,Equipos!$Q$7:$Q$18,0),Portada!N$3)</f>
        <v>Francia</v>
      </c>
      <c r="O5" s="105">
        <f ca="1">IF(AND($N5&lt;&gt;"",$Q5&lt;&gt;""),INDEX(Equipos!$G$7:$N$18,MATCH($M5,Equipos!$Q$7:$Q$18,0),Portada!O$3),"")</f>
        <v>1</v>
      </c>
      <c r="P5" s="105">
        <f ca="1">IF(AND($N5&lt;&gt;"",$Q5&lt;&gt;""),INDEX(Equipos!$G$7:$N$18,MATCH($M5,Equipos!$Q$7:$Q$18,0),Portada!P$3),"")</f>
        <v>0</v>
      </c>
      <c r="Q5" s="105" t="str">
        <f ca="1">INDEX(Equipos!$G$7:$N$18,MATCH($M5,Equipos!$Q$7:$Q$18,0),Portada!Q$3)</f>
        <v>Bélgica</v>
      </c>
      <c r="R5" s="114">
        <f ca="1">INDEX(Equipos!$G$7:$N$18,MATCH($M5,Equipos!$Q$7:$Q$18,0),Portada!R$3)</f>
        <v>43291.833333333336</v>
      </c>
    </row>
    <row r="6" spans="1:18" ht="15.75" x14ac:dyDescent="0.25">
      <c r="A6" s="113">
        <v>1</v>
      </c>
      <c r="B6" s="105" t="str">
        <f ca="1">INDEX(FaseGrupos!$P$6:$AA$53,MATCH(Portada!$A6,FaseGrupos!$X$6:$X$53,0),Portada!B$3)</f>
        <v>Senegal</v>
      </c>
      <c r="C6" s="105">
        <f ca="1">IF(AND($B6&lt;&gt;"",$E6&lt;&gt;""),INDEX(FaseGrupos!$P$6:$AA$53,MATCH(Portada!$A6,FaseGrupos!$X$6:$X$53,0),Portada!C$3),"")</f>
        <v>0</v>
      </c>
      <c r="D6" s="105">
        <f ca="1">IF(AND($B6&lt;&gt;"",$E6&lt;&gt;""),INDEX(FaseGrupos!$P$6:$AA$53,MATCH(Portada!$A6,FaseGrupos!$X$6:$X$53,0),Portada!D$3),"")</f>
        <v>1</v>
      </c>
      <c r="E6" s="105" t="str">
        <f ca="1">INDEX(FaseGrupos!$P$6:$AA$53,MATCH(Portada!$A6,FaseGrupos!$X$6:$X$53,0),Portada!E$3)</f>
        <v>Colombia</v>
      </c>
      <c r="F6" s="114">
        <f ca="1">INDEX(FaseGrupos!$P$6:$AA$53,MATCH(Portada!$A6,FaseGrupos!$X$6:$X$53,0),Portada!F$3)</f>
        <v>43279.666666666664</v>
      </c>
      <c r="M6" s="113">
        <v>1</v>
      </c>
      <c r="N6" s="105" t="str">
        <f ca="1">INDEX(Equipos!$G$7:$N$18,MATCH($M6,Equipos!$Q$7:$Q$18,0),Portada!N$3)</f>
        <v>Francia</v>
      </c>
      <c r="O6" s="105">
        <f ca="1">IF(AND($N6&lt;&gt;"",$Q6&lt;&gt;""),INDEX(Equipos!$G$7:$N$18,MATCH($M6,Equipos!$Q$7:$Q$18,0),Portada!O$3),"")</f>
        <v>4</v>
      </c>
      <c r="P6" s="105">
        <f ca="1">IF(AND($N6&lt;&gt;"",$Q6&lt;&gt;""),INDEX(Equipos!$G$7:$N$18,MATCH($M6,Equipos!$Q$7:$Q$18,0),Portada!P$3),"")</f>
        <v>2</v>
      </c>
      <c r="Q6" s="105" t="str">
        <f ca="1">INDEX(Equipos!$G$7:$N$18,MATCH($M6,Equipos!$Q$7:$Q$18,0),Portada!Q$3)</f>
        <v>Croacia</v>
      </c>
      <c r="R6" s="114">
        <f ca="1">INDEX(Equipos!$G$7:$N$18,MATCH($M6,Equipos!$Q$7:$Q$18,0),Portada!R$3)</f>
        <v>43296.708333333336</v>
      </c>
    </row>
    <row r="7" spans="1:18" x14ac:dyDescent="0.25"/>
    <row r="8" spans="1:18" x14ac:dyDescent="0.25"/>
    <row r="9" spans="1:18" x14ac:dyDescent="0.25"/>
    <row r="10" spans="1:18" x14ac:dyDescent="0.25"/>
    <row r="11" spans="1:18" x14ac:dyDescent="0.25">
      <c r="B11" s="113">
        <v>1</v>
      </c>
      <c r="C11" s="113">
        <v>2</v>
      </c>
      <c r="D11" s="113">
        <v>3</v>
      </c>
      <c r="E11" s="113">
        <v>4</v>
      </c>
      <c r="F11" s="113">
        <v>12</v>
      </c>
      <c r="N11" s="113">
        <v>1</v>
      </c>
      <c r="O11" s="113">
        <v>2</v>
      </c>
      <c r="P11" s="113">
        <v>3</v>
      </c>
      <c r="Q11" s="113">
        <v>4</v>
      </c>
      <c r="R11" s="113">
        <v>6</v>
      </c>
    </row>
    <row r="12" spans="1:18" ht="15.75" x14ac:dyDescent="0.25">
      <c r="A12" s="113">
        <v>3</v>
      </c>
      <c r="B12" s="105" t="str">
        <f ca="1">INDEX(FaseFinal!$P$6:$AA$53,MATCH(Portada!$A12,FaseFinal!$X$6:$X$53,0),Portada!B$11)</f>
        <v>Brasil</v>
      </c>
      <c r="C12" s="105">
        <f ca="1">IF(AND($B12&lt;&gt;"",$E12&lt;&gt;""),INDEX(FaseFinal!$P$6:$AA$53,MATCH(Portada!$A12,FaseFinal!$X$6:$X$53,0),Portada!C$11),"")</f>
        <v>2</v>
      </c>
      <c r="D12" s="105">
        <f ca="1">IF(AND($B12&lt;&gt;"",$E12&lt;&gt;""),INDEX(FaseFinal!$P$6:$AA$53,MATCH(Portada!$A12,FaseFinal!$X$6:$X$53,0),Portada!D$11),"")</f>
        <v>0</v>
      </c>
      <c r="E12" s="105" t="str">
        <f ca="1">INDEX(FaseFinal!$P$6:$AA$53,MATCH(Portada!$A12,FaseFinal!$X$6:$X$53,0),Portada!E$11)</f>
        <v>México</v>
      </c>
      <c r="F12" s="114">
        <f ca="1">INDEX(FaseFinal!$P$6:$AA$53,MATCH(Portada!$A12,FaseFinal!$X$6:$X$53,0),Portada!F$11)</f>
        <v>43283.666666666664</v>
      </c>
      <c r="M12" s="113">
        <v>3</v>
      </c>
      <c r="N12" s="105" t="str">
        <f ca="1">INDEX(Sedes!$G$15:$M$22,MATCH(Portada!$A12,Sedes!$P$15:$P$22,0),Portada!N$11)</f>
        <v>Suecia</v>
      </c>
      <c r="O12" s="105">
        <f ca="1">IF(AND($N$12&lt;&gt;"",$Q$12&lt;&gt;""),INDEX(Sedes!$G$15:$M$22,MATCH(Portada!$A12,Sedes!$P$15:$P$22,0),Portada!O$11),"")</f>
        <v>1</v>
      </c>
      <c r="P12" s="105">
        <f ca="1">IF(AND($N$12&lt;&gt;"",$Q$12&lt;&gt;""),INDEX(Sedes!$G$15:$M$22,MATCH(Portada!$A12,Sedes!$P$15:$P$22,0),Portada!P$11),"")</f>
        <v>0</v>
      </c>
      <c r="Q12" s="105" t="str">
        <f ca="1">INDEX(Sedes!$G$15:$M$22,MATCH(Portada!$A12,Sedes!$P$15:$P$22,0),Portada!Q$11)</f>
        <v>Suiza</v>
      </c>
      <c r="R12" s="114">
        <f ca="1">INDEX(Sedes!$G$15:$M$22,MATCH(Portada!$A12,Sedes!$P$15:$P$22,0),Portada!R$11)</f>
        <v>43284.666666666664</v>
      </c>
    </row>
    <row r="13" spans="1:18" ht="15.75" x14ac:dyDescent="0.25">
      <c r="A13" s="113">
        <v>2</v>
      </c>
      <c r="B13" s="105" t="str">
        <f ca="1">INDEX(FaseFinal!$P$6:$AA$53,MATCH(Portada!$A13,FaseFinal!$X$6:$X$53,0),Portada!B$11)</f>
        <v>Francia</v>
      </c>
      <c r="C13" s="105">
        <f ca="1">IF(AND($B13&lt;&gt;"",$E13&lt;&gt;""),INDEX(FaseFinal!$P$6:$AA$53,MATCH(Portada!$A13,FaseFinal!$X$6:$X$53,0),Portada!C$11),"")</f>
        <v>4</v>
      </c>
      <c r="D13" s="105">
        <f ca="1">IF(AND($B13&lt;&gt;"",$E13&lt;&gt;""),INDEX(FaseFinal!$P$6:$AA$53,MATCH(Portada!$A13,FaseFinal!$X$6:$X$53,0),Portada!D$11),"")</f>
        <v>3</v>
      </c>
      <c r="E13" s="105" t="str">
        <f ca="1">INDEX(FaseFinal!$P$6:$AA$53,MATCH(Portada!$A13,FaseFinal!$X$6:$X$53,0),Portada!E$11)</f>
        <v>Argentina</v>
      </c>
      <c r="F13" s="114">
        <f ca="1">INDEX(FaseFinal!$P$6:$AA$53,MATCH(Portada!$A13,FaseFinal!$X$6:$X$53,0),Portada!F$11)</f>
        <v>43281.666666666664</v>
      </c>
      <c r="M13" s="113">
        <v>2</v>
      </c>
      <c r="N13" s="105" t="str">
        <f ca="1">INDEX(Sedes!$G$15:$M$22,MATCH(Portada!$A13,Sedes!$P$15:$P$22,0),Portada!N$11)</f>
        <v>Francia</v>
      </c>
      <c r="O13" s="105">
        <f ca="1">IF(AND($N$12&lt;&gt;"",$Q$12&lt;&gt;""),INDEX(Sedes!$G$15:$M$22,MATCH(Portada!$A13,Sedes!$P$15:$P$22,0),Portada!O$11),"")</f>
        <v>1</v>
      </c>
      <c r="P13" s="105">
        <f ca="1">IF(AND($N$12&lt;&gt;"",$Q$12&lt;&gt;""),INDEX(Sedes!$G$15:$M$22,MATCH(Portada!$A13,Sedes!$P$15:$P$22,0),Portada!P$11),"")</f>
        <v>0</v>
      </c>
      <c r="Q13" s="105" t="str">
        <f ca="1">INDEX(Sedes!$G$15:$M$22,MATCH(Portada!$A13,Sedes!$P$15:$P$22,0),Portada!Q$11)</f>
        <v>Bélgica</v>
      </c>
      <c r="R13" s="114">
        <f ca="1">INDEX(Sedes!$G$15:$M$22,MATCH(Portada!$A13,Sedes!$P$15:$P$22,0),Portada!R$11)</f>
        <v>43291.833333333336</v>
      </c>
    </row>
    <row r="14" spans="1:18" ht="15.75" x14ac:dyDescent="0.25">
      <c r="A14" s="113">
        <v>1</v>
      </c>
      <c r="B14" s="105" t="str">
        <f ca="1">INDEX(FaseFinal!$P$6:$AA$53,MATCH(Portada!$A14,FaseFinal!$X$6:$X$53,0),Portada!B$11)</f>
        <v>Uruguay</v>
      </c>
      <c r="C14" s="105">
        <f ca="1">IF(AND($B14&lt;&gt;"",$E14&lt;&gt;""),INDEX(FaseFinal!$P$6:$AA$53,MATCH(Portada!$A14,FaseFinal!$X$6:$X$53,0),Portada!C$11),"")</f>
        <v>2</v>
      </c>
      <c r="D14" s="105">
        <f ca="1">IF(AND($B14&lt;&gt;"",$E14&lt;&gt;""),INDEX(FaseFinal!$P$6:$AA$53,MATCH(Portada!$A14,FaseFinal!$X$6:$X$53,0),Portada!D$11),"")</f>
        <v>1</v>
      </c>
      <c r="E14" s="105" t="str">
        <f ca="1">INDEX(FaseFinal!$P$6:$AA$53,MATCH(Portada!$A14,FaseFinal!$X$6:$X$53,0),Portada!E$11)</f>
        <v>Portugal</v>
      </c>
      <c r="F14" s="114">
        <f ca="1">INDEX(FaseFinal!$P$6:$AA$53,MATCH(Portada!$A14,FaseFinal!$X$6:$X$53,0),Portada!F$11)</f>
        <v>43281.833333333336</v>
      </c>
      <c r="M14" s="113">
        <v>1</v>
      </c>
      <c r="N14" s="105" t="str">
        <f ca="1">INDEX(Sedes!$G$15:$M$22,MATCH(Portada!$A14,Sedes!$P$15:$P$22,0),Portada!N$11)</f>
        <v>Bélgica</v>
      </c>
      <c r="O14" s="105">
        <f ca="1">IF(AND($N$12&lt;&gt;"",$Q$12&lt;&gt;""),INDEX(Sedes!$G$15:$M$22,MATCH(Portada!$A14,Sedes!$P$15:$P$22,0),Portada!O$11),"")</f>
        <v>2</v>
      </c>
      <c r="P14" s="105">
        <f ca="1">IF(AND($N$12&lt;&gt;"",$Q$12&lt;&gt;""),INDEX(Sedes!$G$15:$M$22,MATCH(Portada!$A14,Sedes!$P$15:$P$22,0),Portada!P$11),"")</f>
        <v>0</v>
      </c>
      <c r="Q14" s="105" t="str">
        <f ca="1">INDEX(Sedes!$G$15:$M$22,MATCH(Portada!$A14,Sedes!$P$15:$P$22,0),Portada!Q$11)</f>
        <v>Inglaterra</v>
      </c>
      <c r="R14" s="114">
        <f ca="1">INDEX(Sedes!$G$15:$M$22,MATCH(Portada!$A14,Sedes!$P$15:$P$22,0),Portada!R$11)</f>
        <v>43295.666666666664</v>
      </c>
    </row>
    <row r="15" spans="1:18" x14ac:dyDescent="0.25"/>
    <row r="16" spans="1:18" x14ac:dyDescent="0.25"/>
    <row r="17" spans="2:18" x14ac:dyDescent="0.25"/>
    <row r="18" spans="2:18" x14ac:dyDescent="0.25"/>
    <row r="19" spans="2:18" x14ac:dyDescent="0.25">
      <c r="N19" s="113">
        <v>1</v>
      </c>
      <c r="O19" s="113">
        <v>2</v>
      </c>
      <c r="P19" s="113">
        <v>3</v>
      </c>
      <c r="Q19" s="113">
        <v>4</v>
      </c>
      <c r="R19" s="113">
        <v>12</v>
      </c>
    </row>
    <row r="20" spans="2:18" ht="15.75" customHeight="1" x14ac:dyDescent="0.25">
      <c r="B20" s="122" t="s">
        <v>1</v>
      </c>
      <c r="C20" s="123"/>
      <c r="D20" s="123"/>
      <c r="E20" s="123"/>
      <c r="F20" s="124"/>
      <c r="M20" s="113">
        <v>3</v>
      </c>
      <c r="N20" s="105" t="str">
        <f ca="1">INDEX(Grupos!$P$6:$AA$53,MATCH(Portada!$M20,Grupos!$X$6:$X$53,0),Portada!N$19)</f>
        <v>Irán</v>
      </c>
      <c r="O20" s="105">
        <f ca="1">IF(AND($N20&gt;"",$Q20&lt;&gt;""),INDEX(Grupos!$P$6:$AA$53,MATCH(Portada!$M20,Grupos!$X$6:$X$53,0),Portada!O$19),"")</f>
        <v>0</v>
      </c>
      <c r="P20" s="105">
        <f ca="1">IF(AND($N20&gt;"",$Q20&lt;&gt;""),INDEX(Grupos!$P$6:$AA$53,MATCH(Portada!$M20,Grupos!$X$6:$X$53,0),Portada!P$19),"")</f>
        <v>1</v>
      </c>
      <c r="Q20" s="105" t="str">
        <f ca="1">INDEX(Grupos!$P$6:$AA$53,MATCH(Portada!$M20,Grupos!$X$6:$X$53,0),Portada!Q$19)</f>
        <v>España</v>
      </c>
      <c r="R20" s="114">
        <f ca="1">INDEX(Grupos!$P$6:$AA$53,MATCH(Portada!$M20,Grupos!$X$6:$X$53,0),Portada!R$19)</f>
        <v>43271.833333333336</v>
      </c>
    </row>
    <row r="21" spans="2:18" ht="15.75" customHeight="1" x14ac:dyDescent="0.25">
      <c r="B21" s="125"/>
      <c r="C21" s="126"/>
      <c r="D21" s="126"/>
      <c r="E21" s="126"/>
      <c r="F21" s="127"/>
      <c r="M21" s="113">
        <v>2</v>
      </c>
      <c r="N21" s="105" t="str">
        <f ca="1">INDEX(Grupos!$P$6:$AA$53,MATCH(Portada!$M21,Grupos!$X$6:$X$53,0),Portada!N$19)</f>
        <v>Irán</v>
      </c>
      <c r="O21" s="105">
        <f ca="1">IF(AND($N21&gt;"",$Q21&lt;&gt;""),INDEX(Grupos!$P$6:$AA$53,MATCH(Portada!$M21,Grupos!$X$6:$X$53,0),Portada!O$19),"")</f>
        <v>1</v>
      </c>
      <c r="P21" s="105">
        <f ca="1">IF(AND($N21&gt;"",$Q21&lt;&gt;""),INDEX(Grupos!$P$6:$AA$53,MATCH(Portada!$M21,Grupos!$X$6:$X$53,0),Portada!P$19),"")</f>
        <v>1</v>
      </c>
      <c r="Q21" s="105" t="str">
        <f ca="1">INDEX(Grupos!$P$6:$AA$53,MATCH(Portada!$M21,Grupos!$X$6:$X$53,0),Portada!Q$19)</f>
        <v>Portugal</v>
      </c>
      <c r="R21" s="114">
        <f ca="1">INDEX(Grupos!$P$6:$AA$53,MATCH(Portada!$M21,Grupos!$X$6:$X$53,0),Portada!R$19)</f>
        <v>43276.833333333336</v>
      </c>
    </row>
    <row r="22" spans="2:18" ht="15.75" x14ac:dyDescent="0.25">
      <c r="B22" s="129" t="str">
        <f ca="1">Traduccion!B5</f>
        <v>Idioma</v>
      </c>
      <c r="C22" s="129"/>
      <c r="D22" s="129"/>
      <c r="E22" s="129"/>
      <c r="F22" s="129"/>
      <c r="M22" s="113">
        <v>1</v>
      </c>
      <c r="N22" s="105" t="str">
        <f ca="1">INDEX(Grupos!$P$6:$AA$53,MATCH(Portada!$M22,Grupos!$X$6:$X$53,0),Portada!N$19)</f>
        <v>España</v>
      </c>
      <c r="O22" s="105">
        <f ca="1">IF(AND($N22&gt;"",$Q22&lt;&gt;""),INDEX(Grupos!$P$6:$AA$53,MATCH(Portada!$M22,Grupos!$X$6:$X$53,0),Portada!O$19),"")</f>
        <v>2</v>
      </c>
      <c r="P22" s="105">
        <f ca="1">IF(AND($N22&gt;"",$Q22&lt;&gt;""),INDEX(Grupos!$P$6:$AA$53,MATCH(Portada!$M22,Grupos!$X$6:$X$53,0),Portada!P$19),"")</f>
        <v>2</v>
      </c>
      <c r="Q22" s="105" t="str">
        <f ca="1">INDEX(Grupos!$P$6:$AA$53,MATCH(Portada!$M22,Grupos!$X$6:$X$53,0),Portada!Q$19)</f>
        <v>Marruecos</v>
      </c>
      <c r="R22" s="114">
        <f ca="1">INDEX(Grupos!$P$6:$AA$53,MATCH(Portada!$M22,Grupos!$X$6:$X$53,0),Portada!R$19)</f>
        <v>43276.833333333336</v>
      </c>
    </row>
    <row r="23" spans="2:18" x14ac:dyDescent="0.25">
      <c r="B23" s="129"/>
      <c r="C23" s="129"/>
      <c r="D23" s="129"/>
      <c r="E23" s="129"/>
      <c r="F23" s="129"/>
    </row>
    <row r="24" spans="2:18" x14ac:dyDescent="0.25">
      <c r="B24" s="130" t="str">
        <f ca="1">Traduccion!B7</f>
        <v>Configurar idioma…</v>
      </c>
      <c r="C24" s="130"/>
      <c r="D24" s="130"/>
      <c r="E24" s="130"/>
      <c r="F24" s="130"/>
    </row>
    <row r="25" spans="2:18" ht="15.75" customHeight="1" x14ac:dyDescent="0.25"/>
    <row r="26" spans="2:18" x14ac:dyDescent="0.25">
      <c r="B26" s="122" t="s">
        <v>448</v>
      </c>
      <c r="C26" s="123"/>
      <c r="D26" s="123"/>
      <c r="E26" s="123"/>
      <c r="F26" s="124"/>
    </row>
    <row r="27" spans="2:18" x14ac:dyDescent="0.25">
      <c r="B27" s="125"/>
      <c r="C27" s="126"/>
      <c r="D27" s="126"/>
      <c r="E27" s="126"/>
      <c r="F27" s="127"/>
      <c r="N27" s="128"/>
      <c r="O27" s="128"/>
      <c r="P27" s="128"/>
      <c r="Q27" s="128"/>
      <c r="R27" s="128"/>
    </row>
    <row r="28" spans="2:18" x14ac:dyDescent="0.25">
      <c r="B28" s="129" t="str">
        <f ca="1">Traduccion!B6</f>
        <v>Zona horaria</v>
      </c>
      <c r="C28" s="129"/>
      <c r="D28" s="129"/>
      <c r="E28" s="129"/>
      <c r="F28" s="129"/>
      <c r="N28" s="128"/>
      <c r="O28" s="128"/>
      <c r="P28" s="128"/>
      <c r="Q28" s="128"/>
      <c r="R28" s="128"/>
    </row>
    <row r="29" spans="2:18" x14ac:dyDescent="0.25">
      <c r="B29" s="129"/>
      <c r="C29" s="129"/>
      <c r="D29" s="129"/>
      <c r="E29" s="129"/>
      <c r="F29" s="129"/>
      <c r="N29" s="128"/>
      <c r="O29" s="128"/>
      <c r="P29" s="128"/>
      <c r="Q29" s="128"/>
      <c r="R29" s="128"/>
    </row>
    <row r="30" spans="2:18" x14ac:dyDescent="0.25"/>
    <row r="31" spans="2:18" hidden="1" x14ac:dyDescent="0.25"/>
    <row r="32" spans="2:18" hidden="1" x14ac:dyDescent="0.25"/>
    <row r="33" spans="13:13" hidden="1" x14ac:dyDescent="0.25"/>
    <row r="34" spans="13:13" hidden="1" x14ac:dyDescent="0.25">
      <c r="M34" s="50"/>
    </row>
    <row r="35" spans="13:13" x14ac:dyDescent="0.25"/>
  </sheetData>
  <sheetProtection sheet="1" objects="1" scenarios="1"/>
  <mergeCells count="6">
    <mergeCell ref="B20:F21"/>
    <mergeCell ref="B26:F27"/>
    <mergeCell ref="N27:R29"/>
    <mergeCell ref="B22:F23"/>
    <mergeCell ref="B28:F29"/>
    <mergeCell ref="B24:F24"/>
  </mergeCells>
  <conditionalFormatting sqref="C4:D6">
    <cfRule type="expression" dxfId="142" priority="9">
      <formula>IF(ISBLANK(C4),TRUE,FALSE)</formula>
    </cfRule>
  </conditionalFormatting>
  <conditionalFormatting sqref="C12:D14">
    <cfRule type="expression" dxfId="141" priority="7">
      <formula>IF(C12="",TRUE,FALSE)</formula>
    </cfRule>
  </conditionalFormatting>
  <conditionalFormatting sqref="O20:P22">
    <cfRule type="expression" dxfId="140" priority="2">
      <formula>IF(O20="",TRUE,FALSE)</formula>
    </cfRule>
  </conditionalFormatting>
  <conditionalFormatting sqref="O4:P6">
    <cfRule type="expression" dxfId="139" priority="3">
      <formula>IF(O4="",TRUE,FALSE)</formula>
    </cfRule>
  </conditionalFormatting>
  <conditionalFormatting sqref="O12:P14">
    <cfRule type="expression" dxfId="138" priority="1">
      <formula>IF(O12="",TRUE,FALSE)</formula>
    </cfRule>
  </conditionalFormatting>
  <hyperlinks>
    <hyperlink ref="B24:F24" location="Traduccion!A1" display="Traduccion!A1"/>
  </hyperlink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Traduccion!$C$3:$F$3</xm:f>
          </x14:formula1>
          <xm:sqref>B20</xm:sqref>
        </x14:dataValidation>
        <x14:dataValidation type="list" allowBlank="1" showInputMessage="1" showErrorMessage="1">
          <x14:formula1>
            <xm:f>ConfigHorarios!$G$2:$G$62</xm:f>
          </x14:formula1>
          <xm:sqref>B26:F27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AZ72"/>
  <sheetViews>
    <sheetView showGridLines="0" showRowColHeaders="0" topLeftCell="O1" workbookViewId="0">
      <selection activeCell="AA7" sqref="AA7"/>
    </sheetView>
  </sheetViews>
  <sheetFormatPr baseColWidth="10" defaultColWidth="0" defaultRowHeight="15.75" zeroHeight="1" x14ac:dyDescent="0.25"/>
  <cols>
    <col min="1" max="1" width="11.42578125" style="42" hidden="1" customWidth="1"/>
    <col min="2" max="14" width="11.42578125" style="41" hidden="1" customWidth="1"/>
    <col min="15" max="15" width="3.28515625" style="101" customWidth="1"/>
    <col min="16" max="16" width="14.42578125" style="101" bestFit="1" customWidth="1"/>
    <col min="17" max="18" width="3.28515625" style="101" customWidth="1"/>
    <col min="19" max="19" width="14.42578125" style="101" bestFit="1" customWidth="1"/>
    <col min="20" max="20" width="3.28515625" style="101" customWidth="1"/>
    <col min="21" max="22" width="11.42578125" style="101" hidden="1" customWidth="1"/>
    <col min="23" max="24" width="11.42578125" style="41" hidden="1" customWidth="1"/>
    <col min="25" max="25" width="3.5703125" style="41" customWidth="1"/>
    <col min="26" max="26" width="24.85546875" style="41" bestFit="1" customWidth="1"/>
    <col min="27" max="27" width="17.7109375" style="41" bestFit="1" customWidth="1"/>
    <col min="28" max="28" width="3.5703125" style="41" customWidth="1"/>
    <col min="29" max="29" width="3.5703125" style="42" customWidth="1"/>
    <col min="30" max="30" width="2.140625" style="41" customWidth="1"/>
    <col min="31" max="31" width="14.42578125" style="41" customWidth="1"/>
    <col min="32" max="32" width="3.85546875" style="41" bestFit="1" customWidth="1"/>
    <col min="33" max="33" width="2.85546875" style="41" bestFit="1" customWidth="1"/>
    <col min="34" max="34" width="3.5703125" style="41" bestFit="1" customWidth="1"/>
    <col min="35" max="36" width="3.28515625" style="41" customWidth="1"/>
    <col min="37" max="37" width="3.42578125" style="41" bestFit="1" customWidth="1"/>
    <col min="38" max="39" width="3.7109375" style="41" bestFit="1" customWidth="1"/>
    <col min="40" max="40" width="3.5703125" style="41" customWidth="1"/>
    <col min="41" max="52" width="0" style="41" hidden="1" customWidth="1"/>
    <col min="53" max="16384" width="11.42578125" style="41" hidden="1"/>
  </cols>
  <sheetData>
    <row r="1" spans="1:39" ht="109.5" customHeight="1" x14ac:dyDescent="0.25"/>
    <row r="2" spans="1:39" ht="7.5" customHeight="1" x14ac:dyDescent="0.25">
      <c r="AD2" s="115"/>
      <c r="AE2" s="42">
        <v>5</v>
      </c>
      <c r="AF2" s="42">
        <v>6</v>
      </c>
      <c r="AG2" s="42">
        <v>7</v>
      </c>
      <c r="AH2" s="42">
        <v>8</v>
      </c>
      <c r="AI2" s="42">
        <v>9</v>
      </c>
      <c r="AJ2" s="42">
        <v>10</v>
      </c>
      <c r="AK2" s="42">
        <v>11</v>
      </c>
      <c r="AL2" s="42">
        <v>12</v>
      </c>
      <c r="AM2" s="42">
        <v>13</v>
      </c>
    </row>
    <row r="3" spans="1:39" ht="23.25" x14ac:dyDescent="0.35">
      <c r="P3" s="93" t="str">
        <f ca="1">Traduccion!B18</f>
        <v>Fase de Grupos</v>
      </c>
      <c r="AD3" s="115"/>
      <c r="AE3" s="42"/>
      <c r="AF3" s="42"/>
      <c r="AG3" s="42"/>
      <c r="AH3" s="50"/>
      <c r="AI3" s="42"/>
      <c r="AJ3" s="42"/>
      <c r="AK3" s="42"/>
      <c r="AL3" s="42"/>
      <c r="AM3" s="42"/>
    </row>
    <row r="4" spans="1:39" x14ac:dyDescent="0.25">
      <c r="AD4" s="115"/>
      <c r="AE4" s="42"/>
      <c r="AF4" s="42"/>
      <c r="AG4" s="42"/>
      <c r="AH4" s="42"/>
      <c r="AI4" s="42"/>
      <c r="AJ4" s="42"/>
      <c r="AK4" s="42"/>
      <c r="AL4" s="42"/>
      <c r="AM4" s="42"/>
    </row>
    <row r="5" spans="1:39" x14ac:dyDescent="0.25">
      <c r="H5" s="41" t="s">
        <v>52</v>
      </c>
      <c r="I5" s="41" t="s">
        <v>53</v>
      </c>
      <c r="J5" s="41" t="s">
        <v>54</v>
      </c>
      <c r="K5" s="41" t="s">
        <v>55</v>
      </c>
      <c r="L5" s="41" t="s">
        <v>131</v>
      </c>
      <c r="M5" s="41" t="s">
        <v>132</v>
      </c>
      <c r="N5" s="41" t="s">
        <v>63</v>
      </c>
      <c r="P5" s="131" t="str">
        <f ca="1">Traduccion!B13</f>
        <v>Partido</v>
      </c>
      <c r="Q5" s="131"/>
      <c r="R5" s="131"/>
      <c r="S5" s="131"/>
      <c r="T5" s="41"/>
      <c r="Z5" s="51" t="str">
        <f ca="1">Traduccion!B14</f>
        <v>Estadio</v>
      </c>
      <c r="AA5" s="51" t="str">
        <f ca="1">Traduccion!B15</f>
        <v>Horario</v>
      </c>
      <c r="AD5" s="133" t="str">
        <f ca="1">Traduccion!B41</f>
        <v>Modificar puntos de juego limpio</v>
      </c>
      <c r="AE5" s="133"/>
      <c r="AF5" s="133"/>
      <c r="AG5" s="133"/>
      <c r="AH5" s="133"/>
      <c r="AI5" s="133"/>
      <c r="AJ5" s="133"/>
      <c r="AK5" s="133"/>
      <c r="AL5" s="133"/>
      <c r="AM5" s="133"/>
    </row>
    <row r="6" spans="1:39" x14ac:dyDescent="0.25">
      <c r="A6" s="42" t="str">
        <f>LOOKUP(ROW(),config_filas,config_abreviaturas)</f>
        <v>G</v>
      </c>
      <c r="B6" s="41" t="str">
        <f ca="1">IF($D6&lt;&gt;"",CHAR($D6)&amp;E6,OFFSET(Config!$AD$1,FaseGrupos!H6,2*MATCH(FaseGrupos!A6,Config!$AA$3:$AA$11,0)-1))</f>
        <v>A1</v>
      </c>
      <c r="C6" s="41" t="str">
        <f ca="1">IF($D6&lt;&gt;"",CHAR($D6) &amp; F6, B6 &amp; $H6)</f>
        <v>A2</v>
      </c>
      <c r="D6" s="41">
        <v>65</v>
      </c>
      <c r="E6" s="41">
        <f ca="1">OFFSET(ConfigParejas!$A$1,FaseGrupos!I6,2*INDEX(Config!$W$14:$W$27,MATCH(D6,Config!$V$14:$V$27,0))-1)</f>
        <v>1</v>
      </c>
      <c r="F6" s="41">
        <f ca="1">OFFSET(ConfigParejas!$A$1,FaseGrupos!I6,2*INDEX(Config!$W$14:$W$27,MATCH(D6,Config!$V$14:$V$27,0)))</f>
        <v>2</v>
      </c>
      <c r="H6" s="94">
        <f>IF(A6="G",ROUND((COUNTIF($D$6:D6,D6))/2,0),ROUND((COUNTIF($A$6:A6,A6)/INDEX(Config!$X$2:$AA$11,MATCH(A6,config_abreviaturas,0),1)),0))</f>
        <v>1</v>
      </c>
      <c r="I6" s="41">
        <f>COUNTIF($D$6:D6,D6)</f>
        <v>1</v>
      </c>
      <c r="J6" s="41">
        <f>IF(OR(ISBLANK(Q6),ISBLANK(R6)),0,1)</f>
        <v>1</v>
      </c>
      <c r="K6" s="41">
        <f t="shared" ref="K6:K37" si="0">IF(J6=0,"",(IF(Q6+O6&gt;R6+T6,1,IF(Q6+O6=R6+T6,0.5,0))))</f>
        <v>1</v>
      </c>
      <c r="L6" s="41">
        <f ca="1" xml:space="preserve"> IF(OR(P6=Equipos!$G$5,S6=Equipos!$G$5),1+COUNTIF($L$5:L5,"&gt;=1"),0)</f>
        <v>0</v>
      </c>
      <c r="M6" s="41">
        <f xml:space="preserve"> IF(Z6=Sedes!$G$3,1+COUNTIF($M$5:M5,"&gt;=1"),0)</f>
        <v>0</v>
      </c>
      <c r="N6" s="41" t="str">
        <f>IF(FaseGrupos!D6=Grupos!$A$5,FaseGrupos!I6,"")</f>
        <v/>
      </c>
      <c r="P6" s="101" t="str">
        <f ca="1">LOOKUP(B6,Config!$B$2:$B$33,Config!$E$2:$E$33)</f>
        <v>Rusia</v>
      </c>
      <c r="Q6" s="95">
        <v>5</v>
      </c>
      <c r="R6" s="95">
        <v>0</v>
      </c>
      <c r="S6" s="101" t="str">
        <f ca="1">LOOKUP(C6,Config!$B$2:$B$33,Config!$E$2:$E$33)</f>
        <v>Arabia Saudita</v>
      </c>
      <c r="U6" s="101">
        <f t="shared" ref="U6:U37" si="1">IF(J6=0,"",(IF(Q6+O6&lt;R6+T6,1,IF(Q6+O6=R6+T6,0.5,0))))</f>
        <v>0</v>
      </c>
      <c r="V6" s="101">
        <f ca="1">IF(NOW()&lt;=AA6,AA6,1/1/1970)</f>
        <v>5.0761421319796957E-4</v>
      </c>
      <c r="W6" s="101">
        <f ca="1">V6+2*COUNTIF($V$6:V6,V6)+2*ROW()</f>
        <v>14.000507614213198</v>
      </c>
      <c r="X6" s="101">
        <f ca="1">_xlfn.RANK.EQ(W6,$W$6:$W$53,0)</f>
        <v>48</v>
      </c>
      <c r="Y6" s="101"/>
      <c r="Z6" s="116" t="s">
        <v>165</v>
      </c>
      <c r="AA6" s="117">
        <f>ConfigHorarios!A2</f>
        <v>43265.708333333336</v>
      </c>
    </row>
    <row r="7" spans="1:39" x14ac:dyDescent="0.25">
      <c r="A7" s="42" t="str">
        <f t="shared" ref="A7:A53" si="2">LOOKUP(ROW(),config_filas,config_abreviaturas)</f>
        <v>G</v>
      </c>
      <c r="B7" s="41" t="str">
        <f ca="1">IF($D7&lt;&gt;"",CHAR($D7)&amp;E7,OFFSET(Config!$AD$1,FaseGrupos!H7,2*MATCH(FaseGrupos!A7,Config!$AA$3:$AA$11,0)-1))</f>
        <v>A3</v>
      </c>
      <c r="C7" s="41" t="str">
        <f t="shared" ref="C7:C53" ca="1" si="3">IF($D7&lt;&gt;"",CHAR($D7) &amp; F7, B7 &amp; $H7)</f>
        <v>A4</v>
      </c>
      <c r="D7" s="41">
        <f>IF(A7="G",IF(D6&lt;&gt;D5,D6,IF(D6=Config!$V$28,65,D6+1)),"")</f>
        <v>65</v>
      </c>
      <c r="E7" s="41">
        <f ca="1">OFFSET(ConfigParejas!$A$1,FaseGrupos!I7,2*INDEX(Config!$W$14:$W$27,MATCH(D7,Config!$V$14:$V$27,0))-1)</f>
        <v>3</v>
      </c>
      <c r="F7" s="41">
        <f ca="1">OFFSET(ConfigParejas!$A$1,FaseGrupos!I7,2*INDEX(Config!$W$14:$W$27,MATCH(D7,Config!$V$14:$V$27,0)))</f>
        <v>4</v>
      </c>
      <c r="H7" s="94">
        <f>IF(A7="G",ROUND((COUNTIF($D$6:D7,D7))/2,0),ROUND((COUNTIF($A$6:A7,A7)/INDEX(Config!$X$2:$AA$11,MATCH(A7,config_abreviaturas,0),1)),0))</f>
        <v>1</v>
      </c>
      <c r="I7" s="41">
        <f>COUNTIF($D$6:D7,D7)</f>
        <v>2</v>
      </c>
      <c r="J7" s="41">
        <f t="shared" ref="J7:J53" si="4">IF(OR(ISBLANK(Q7),ISBLANK(R7)),0,1)</f>
        <v>1</v>
      </c>
      <c r="K7" s="41">
        <f t="shared" si="0"/>
        <v>0</v>
      </c>
      <c r="L7" s="41">
        <f ca="1" xml:space="preserve"> IF(OR(P7=Equipos!$G$5,S7=Equipos!$G$5),1+COUNTIF($L$5:L6,"&gt;=1"),0)</f>
        <v>0</v>
      </c>
      <c r="M7" s="41">
        <f xml:space="preserve"> IF(Z7=Sedes!$G$3,1+COUNTIF($M$5:M6,"&gt;=1"),0)</f>
        <v>0</v>
      </c>
      <c r="N7" s="41" t="str">
        <f>IF(FaseGrupos!D7=Grupos!$A$5,FaseGrupos!I7,"")</f>
        <v/>
      </c>
      <c r="P7" s="101" t="str">
        <f ca="1">LOOKUP(B7,Config!$B$2:$B$33,Config!$E$2:$E$33)</f>
        <v>Egipto</v>
      </c>
      <c r="Q7" s="95">
        <v>0</v>
      </c>
      <c r="R7" s="95">
        <v>1</v>
      </c>
      <c r="S7" s="101" t="str">
        <f ca="1">LOOKUP(C7,Config!$B$2:$B$33,Config!$E$2:$E$33)</f>
        <v>Uruguay</v>
      </c>
      <c r="U7" s="101">
        <f t="shared" si="1"/>
        <v>1</v>
      </c>
      <c r="V7" s="101">
        <f t="shared" ref="V7:V53" ca="1" si="5">IF(NOW()&lt;=AA7,AA7,1/1/1970)</f>
        <v>5.0761421319796957E-4</v>
      </c>
      <c r="W7" s="101">
        <f ca="1">V7+2*COUNTIF($V$6:V7,V7)+2*ROW()</f>
        <v>18.000507614213198</v>
      </c>
      <c r="X7" s="101">
        <f t="shared" ref="X7:X53" ca="1" si="6">_xlfn.RANK.EQ(W7,$W$6:$W$53,0)</f>
        <v>47</v>
      </c>
      <c r="Y7" s="101"/>
      <c r="Z7" s="116" t="s">
        <v>148</v>
      </c>
      <c r="AA7" s="117">
        <f>ConfigHorarios!A3</f>
        <v>43266.583333333336</v>
      </c>
      <c r="AD7" s="132" t="str">
        <f ca="1">Traduccion!$B$9 &amp; " " &amp; MID(FaseGrupos!AC7,2,1)</f>
        <v xml:space="preserve">Grupo </v>
      </c>
      <c r="AE7" s="132"/>
      <c r="AF7" s="118" t="str">
        <f ca="1">Traduccion!B42</f>
        <v>Pts</v>
      </c>
      <c r="AG7" s="118" t="str">
        <f ca="1">Traduccion!B43</f>
        <v>PJ</v>
      </c>
      <c r="AH7" s="118" t="str">
        <f ca="1">Traduccion!B44</f>
        <v>PG</v>
      </c>
      <c r="AI7" s="118" t="str">
        <f ca="1">Traduccion!B45</f>
        <v>PE</v>
      </c>
      <c r="AJ7" s="118" t="str">
        <f ca="1">Traduccion!B46</f>
        <v>PP</v>
      </c>
      <c r="AK7" s="118" t="str">
        <f ca="1">Traduccion!B47</f>
        <v>GF</v>
      </c>
      <c r="AL7" s="118" t="str">
        <f ca="1">Traduccion!B48</f>
        <v>GC</v>
      </c>
      <c r="AM7" s="118" t="str">
        <f ca="1">Traduccion!B49</f>
        <v>Dif</v>
      </c>
    </row>
    <row r="8" spans="1:39" x14ac:dyDescent="0.25">
      <c r="A8" s="42" t="str">
        <f t="shared" si="2"/>
        <v>G</v>
      </c>
      <c r="B8" s="41" t="str">
        <f ca="1">IF($D8&lt;&gt;"",CHAR($D8)&amp;E8,OFFSET(Config!$AD$1,FaseGrupos!H8,2*MATCH(FaseGrupos!A8,Config!$AA$3:$AA$11,0)-1))</f>
        <v>B1</v>
      </c>
      <c r="C8" s="41" t="str">
        <f t="shared" ca="1" si="3"/>
        <v>B2</v>
      </c>
      <c r="D8" s="41">
        <f>IF(A8="G",IF(D7&lt;&gt;D6,D7,IF(D7=Config!$V$28,65,D7+1)),"")</f>
        <v>66</v>
      </c>
      <c r="E8" s="41">
        <f ca="1">OFFSET(ConfigParejas!$A$1,FaseGrupos!I8,2*INDEX(Config!$W$14:$W$27,MATCH(D8,Config!$V$14:$V$27,0))-1)</f>
        <v>1</v>
      </c>
      <c r="F8" s="41">
        <f ca="1">OFFSET(ConfigParejas!$A$1,FaseGrupos!I8,2*INDEX(Config!$W$14:$W$27,MATCH(D8,Config!$V$14:$V$27,0)))</f>
        <v>2</v>
      </c>
      <c r="H8" s="94">
        <f>IF(A8="G",ROUND((COUNTIF($D$6:D8,D8))/2,0),ROUND((COUNTIF($A$6:A8,A8)/INDEX(Config!$X$2:$AA$11,MATCH(A8,config_abreviaturas,0),1)),0))</f>
        <v>1</v>
      </c>
      <c r="I8" s="41">
        <f>COUNTIF($D$6:D8,D8)</f>
        <v>1</v>
      </c>
      <c r="J8" s="41">
        <f t="shared" si="4"/>
        <v>1</v>
      </c>
      <c r="K8" s="41">
        <f t="shared" si="0"/>
        <v>0</v>
      </c>
      <c r="L8" s="41">
        <f ca="1" xml:space="preserve"> IF(OR(P8=Equipos!$G$5,S8=Equipos!$G$5),1+COUNTIF($L$5:L7,"&gt;=1"),0)</f>
        <v>0</v>
      </c>
      <c r="M8" s="41">
        <f xml:space="preserve"> IF(Z8=Sedes!$G$3,1+COUNTIF($M$5:M7,"&gt;=1"),0)</f>
        <v>1</v>
      </c>
      <c r="N8" s="41">
        <f>IF(FaseGrupos!D8=Grupos!$A$5,FaseGrupos!I8,"")</f>
        <v>1</v>
      </c>
      <c r="P8" s="101" t="str">
        <f ca="1">LOOKUP(B8,Config!$B$2:$B$33,Config!$E$2:$E$33)</f>
        <v>Marruecos</v>
      </c>
      <c r="Q8" s="95">
        <v>0</v>
      </c>
      <c r="R8" s="95">
        <v>1</v>
      </c>
      <c r="S8" s="101" t="str">
        <f ca="1">LOOKUP(C8,Config!$B$2:$B$33,Config!$E$2:$E$33)</f>
        <v>Irán</v>
      </c>
      <c r="U8" s="101">
        <f t="shared" si="1"/>
        <v>1</v>
      </c>
      <c r="V8" s="101">
        <f t="shared" ca="1" si="5"/>
        <v>5.0761421319796957E-4</v>
      </c>
      <c r="W8" s="101">
        <f ca="1">V8+2*COUNTIF($V$6:V8,V8)+2*ROW()</f>
        <v>22.000507614213198</v>
      </c>
      <c r="X8" s="101">
        <f t="shared" ca="1" si="6"/>
        <v>46</v>
      </c>
      <c r="Y8" s="101"/>
      <c r="Z8" s="116" t="s">
        <v>144</v>
      </c>
      <c r="AA8" s="117">
        <f>ConfigHorarios!A4</f>
        <v>43266.708333333336</v>
      </c>
      <c r="AC8" s="42" t="s">
        <v>99</v>
      </c>
      <c r="AD8" s="118">
        <v>1</v>
      </c>
      <c r="AE8" s="119" t="str">
        <f ca="1">VLOOKUP($AD8,Config!A2:M5,FaseGrupos!AE$2,FALSE)</f>
        <v>Uruguay</v>
      </c>
      <c r="AF8" s="119">
        <f ca="1">VLOOKUP($AD8,Config!A2:M5,FaseGrupos!AF$2,FALSE)</f>
        <v>9</v>
      </c>
      <c r="AG8" s="119">
        <f ca="1">VLOOKUP($AD8,Config!A2:M5,FaseGrupos!AG$2,FALSE)</f>
        <v>3</v>
      </c>
      <c r="AH8" s="119">
        <f ca="1">VLOOKUP($AD8,Config!A2:M5,FaseGrupos!AH$2,FALSE)</f>
        <v>3</v>
      </c>
      <c r="AI8" s="119">
        <f ca="1">VLOOKUP($AD8,Config!A2:M5,FaseGrupos!AI$2,FALSE)</f>
        <v>0</v>
      </c>
      <c r="AJ8" s="119">
        <f ca="1">VLOOKUP($AD8,Config!A2:M5,FaseGrupos!AJ$2,FALSE)</f>
        <v>0</v>
      </c>
      <c r="AK8" s="119">
        <f ca="1">VLOOKUP($AD8,Config!A2:M5,FaseGrupos!AK$2,FALSE)</f>
        <v>5</v>
      </c>
      <c r="AL8" s="119">
        <f ca="1">VLOOKUP($AD8,Config!A2:M5,FaseGrupos!AL$2,FALSE)</f>
        <v>0</v>
      </c>
      <c r="AM8" s="119">
        <f ca="1">VLOOKUP($AD8,Config!A2:M5,FaseGrupos!AM$2,FALSE)</f>
        <v>5</v>
      </c>
    </row>
    <row r="9" spans="1:39" x14ac:dyDescent="0.25">
      <c r="A9" s="42" t="str">
        <f t="shared" si="2"/>
        <v>G</v>
      </c>
      <c r="B9" s="41" t="str">
        <f ca="1">IF($D9&lt;&gt;"",CHAR($D9)&amp;E9,OFFSET(Config!$AD$1,FaseGrupos!H9,2*MATCH(FaseGrupos!A9,Config!$AA$3:$AA$11,0)-1))</f>
        <v>B3</v>
      </c>
      <c r="C9" s="41" t="str">
        <f t="shared" ca="1" si="3"/>
        <v>B4</v>
      </c>
      <c r="D9" s="41">
        <f>IF(A9="G",IF(D8&lt;&gt;D7,D8,IF(D8=Config!$V$28,65,D8+1)),"")</f>
        <v>66</v>
      </c>
      <c r="E9" s="41">
        <f ca="1">OFFSET(ConfigParejas!$A$1,FaseGrupos!I9,2*INDEX(Config!$W$14:$W$27,MATCH(D9,Config!$V$14:$V$27,0))-1)</f>
        <v>3</v>
      </c>
      <c r="F9" s="41">
        <f ca="1">OFFSET(ConfigParejas!$A$1,FaseGrupos!I9,2*INDEX(Config!$W$14:$W$27,MATCH(D9,Config!$V$14:$V$27,0)))</f>
        <v>4</v>
      </c>
      <c r="H9" s="94">
        <f>IF(A9="G",ROUND((COUNTIF($D$6:D9,D9))/2,0),ROUND((COUNTIF($A$6:A9,A9)/INDEX(Config!$X$2:$AA$11,MATCH(A9,config_abreviaturas,0),1)),0))</f>
        <v>1</v>
      </c>
      <c r="I9" s="41">
        <f>COUNTIF($D$6:D9,D9)</f>
        <v>2</v>
      </c>
      <c r="J9" s="41">
        <f t="shared" si="4"/>
        <v>1</v>
      </c>
      <c r="K9" s="41">
        <f t="shared" si="0"/>
        <v>0.5</v>
      </c>
      <c r="L9" s="41">
        <f ca="1" xml:space="preserve"> IF(OR(P9=Equipos!$G$5,S9=Equipos!$G$5),1+COUNTIF($L$5:L8,"&gt;=1"),0)</f>
        <v>0</v>
      </c>
      <c r="M9" s="41">
        <f xml:space="preserve"> IF(Z9=Sedes!$G$3,1+COUNTIF($M$5:M8,"&gt;=1"),0)</f>
        <v>0</v>
      </c>
      <c r="N9" s="41">
        <f>IF(FaseGrupos!D9=Grupos!$A$5,FaseGrupos!I9,"")</f>
        <v>2</v>
      </c>
      <c r="P9" s="101" t="str">
        <f ca="1">LOOKUP(B9,Config!$B$2:$B$33,Config!$E$2:$E$33)</f>
        <v>Portugal</v>
      </c>
      <c r="Q9" s="95">
        <v>3</v>
      </c>
      <c r="R9" s="95">
        <v>3</v>
      </c>
      <c r="S9" s="101" t="str">
        <f ca="1">LOOKUP(C9,Config!$B$2:$B$33,Config!$E$2:$E$33)</f>
        <v>España</v>
      </c>
      <c r="U9" s="101">
        <f t="shared" si="1"/>
        <v>0.5</v>
      </c>
      <c r="V9" s="101">
        <f t="shared" ca="1" si="5"/>
        <v>5.0761421319796957E-4</v>
      </c>
      <c r="W9" s="101">
        <f ca="1">V9+2*COUNTIF($V$6:V9,V9)+2*ROW()</f>
        <v>26.000507614213198</v>
      </c>
      <c r="X9" s="101">
        <f t="shared" ca="1" si="6"/>
        <v>45</v>
      </c>
      <c r="Y9" s="101"/>
      <c r="Z9" s="116" t="s">
        <v>149</v>
      </c>
      <c r="AA9" s="117">
        <f>ConfigHorarios!A5</f>
        <v>43266.833333333336</v>
      </c>
      <c r="AC9" s="42" t="s">
        <v>100</v>
      </c>
      <c r="AD9" s="118">
        <v>2</v>
      </c>
      <c r="AE9" s="119" t="str">
        <f ca="1">VLOOKUP($AD9,Config!A2:M5,FaseGrupos!AE$2,FALSE)</f>
        <v>Rusia</v>
      </c>
      <c r="AF9" s="119">
        <f ca="1">VLOOKUP($AD9,Config!A2:M5,FaseGrupos!AF$2,FALSE)</f>
        <v>6</v>
      </c>
      <c r="AG9" s="119">
        <f ca="1">VLOOKUP($AD9,Config!A2:M5,FaseGrupos!AG$2,FALSE)</f>
        <v>3</v>
      </c>
      <c r="AH9" s="119">
        <f ca="1">VLOOKUP($AD9,Config!A2:M5,FaseGrupos!AH$2,FALSE)</f>
        <v>2</v>
      </c>
      <c r="AI9" s="119">
        <f ca="1">VLOOKUP($AD9,Config!A2:M5,FaseGrupos!AI$2,FALSE)</f>
        <v>0</v>
      </c>
      <c r="AJ9" s="119">
        <f ca="1">VLOOKUP($AD9,Config!A2:M5,FaseGrupos!AJ$2,FALSE)</f>
        <v>1</v>
      </c>
      <c r="AK9" s="119">
        <f ca="1">VLOOKUP($AD9,Config!A2:M5,FaseGrupos!AK$2,FALSE)</f>
        <v>8</v>
      </c>
      <c r="AL9" s="119">
        <f ca="1">VLOOKUP($AD9,Config!A2:M5,FaseGrupos!AL$2,FALSE)</f>
        <v>4</v>
      </c>
      <c r="AM9" s="119">
        <f ca="1">VLOOKUP($AD9,Config!A2:M5,FaseGrupos!AM$2,FALSE)</f>
        <v>4</v>
      </c>
    </row>
    <row r="10" spans="1:39" x14ac:dyDescent="0.25">
      <c r="A10" s="42" t="str">
        <f t="shared" si="2"/>
        <v>G</v>
      </c>
      <c r="B10" s="41" t="str">
        <f ca="1">IF($D10&lt;&gt;"",CHAR($D10)&amp;E10,OFFSET(Config!$AD$1,FaseGrupos!H10,2*MATCH(FaseGrupos!A10,Config!$AA$3:$AA$11,0)-1))</f>
        <v>C1</v>
      </c>
      <c r="C10" s="41" t="str">
        <f t="shared" ca="1" si="3"/>
        <v>C2</v>
      </c>
      <c r="D10" s="41">
        <f>IF(A10="G",IF(D9&lt;&gt;D8,D9,IF(D9=Config!$V$28,65,D9+1)),"")</f>
        <v>67</v>
      </c>
      <c r="E10" s="41">
        <f ca="1">OFFSET(ConfigParejas!$A$1,FaseGrupos!I10,2*INDEX(Config!$W$14:$W$27,MATCH(D10,Config!$V$14:$V$27,0))-1)</f>
        <v>1</v>
      </c>
      <c r="F10" s="41">
        <f ca="1">OFFSET(ConfigParejas!$A$1,FaseGrupos!I10,2*INDEX(Config!$W$14:$W$27,MATCH(D10,Config!$V$14:$V$27,0)))</f>
        <v>2</v>
      </c>
      <c r="H10" s="94">
        <f>IF(A10="G",ROUND((COUNTIF($D$6:D10,D10))/2,0),ROUND((COUNTIF($A$6:A10,A10)/INDEX(Config!$X$2:$AA$11,MATCH(A10,config_abreviaturas,0),1)),0))</f>
        <v>1</v>
      </c>
      <c r="I10" s="41">
        <f>COUNTIF($D$6:D10,D10)</f>
        <v>1</v>
      </c>
      <c r="J10" s="41">
        <f t="shared" si="4"/>
        <v>1</v>
      </c>
      <c r="K10" s="41">
        <f t="shared" si="0"/>
        <v>1</v>
      </c>
      <c r="L10" s="41">
        <f ca="1" xml:space="preserve"> IF(OR(P10=Equipos!$G$5,S10=Equipos!$G$5),1+COUNTIF($L$5:L9,"&gt;=1"),0)</f>
        <v>1</v>
      </c>
      <c r="M10" s="41">
        <f xml:space="preserve"> IF(Z10=Sedes!$G$3,1+COUNTIF($M$5:M9,"&gt;=1"),0)</f>
        <v>0</v>
      </c>
      <c r="N10" s="41" t="str">
        <f>IF(FaseGrupos!D10=Grupos!$A$5,FaseGrupos!I10,"")</f>
        <v/>
      </c>
      <c r="P10" s="101" t="str">
        <f ca="1">LOOKUP(B10,Config!$B$2:$B$33,Config!$E$2:$E$33)</f>
        <v>Francia</v>
      </c>
      <c r="Q10" s="95">
        <v>2</v>
      </c>
      <c r="R10" s="95">
        <v>1</v>
      </c>
      <c r="S10" s="101" t="str">
        <f ca="1">LOOKUP(C10,Config!$B$2:$B$33,Config!$E$2:$E$33)</f>
        <v>Australia</v>
      </c>
      <c r="U10" s="101">
        <f t="shared" si="1"/>
        <v>0</v>
      </c>
      <c r="V10" s="101">
        <f t="shared" ca="1" si="5"/>
        <v>5.0761421319796957E-4</v>
      </c>
      <c r="W10" s="101">
        <f ca="1">V10+2*COUNTIF($V$6:V10,V10)+2*ROW()</f>
        <v>30.000507614213198</v>
      </c>
      <c r="X10" s="101">
        <f t="shared" ca="1" si="6"/>
        <v>44</v>
      </c>
      <c r="Y10" s="101"/>
      <c r="Z10" s="116" t="s">
        <v>153</v>
      </c>
      <c r="AA10" s="117">
        <f>ConfigHorarios!A6</f>
        <v>43267.5</v>
      </c>
      <c r="AC10" s="42" t="s">
        <v>101</v>
      </c>
      <c r="AD10" s="118">
        <v>3</v>
      </c>
      <c r="AE10" s="120" t="str">
        <f ca="1">VLOOKUP($AD10,Config!A2:M5,FaseGrupos!AE$2,FALSE)</f>
        <v>Arabia Saudita</v>
      </c>
      <c r="AF10" s="120">
        <f ca="1">VLOOKUP($AD10,Config!A2:M5,FaseGrupos!AF$2,FALSE)</f>
        <v>3</v>
      </c>
      <c r="AG10" s="120">
        <f ca="1">VLOOKUP($AD10,Config!A2:M5,FaseGrupos!AG$2,FALSE)</f>
        <v>3</v>
      </c>
      <c r="AH10" s="120">
        <f ca="1">VLOOKUP($AD10,Config!A2:M5,FaseGrupos!AH$2,FALSE)</f>
        <v>1</v>
      </c>
      <c r="AI10" s="120">
        <f ca="1">VLOOKUP($AD10,Config!A2:M5,FaseGrupos!AI$2,FALSE)</f>
        <v>0</v>
      </c>
      <c r="AJ10" s="120">
        <f ca="1">VLOOKUP($AD10,Config!A2:M5,FaseGrupos!AJ$2,FALSE)</f>
        <v>2</v>
      </c>
      <c r="AK10" s="120">
        <f ca="1">VLOOKUP($AD10,Config!A2:M5,FaseGrupos!AK$2,FALSE)</f>
        <v>2</v>
      </c>
      <c r="AL10" s="120">
        <f ca="1">VLOOKUP($AD10,Config!A2:M5,FaseGrupos!AL$2,FALSE)</f>
        <v>7</v>
      </c>
      <c r="AM10" s="120">
        <f ca="1">VLOOKUP($AD10,Config!A2:M5,FaseGrupos!AM$2,FALSE)</f>
        <v>-5</v>
      </c>
    </row>
    <row r="11" spans="1:39" x14ac:dyDescent="0.25">
      <c r="A11" s="42" t="str">
        <f t="shared" si="2"/>
        <v>G</v>
      </c>
      <c r="B11" s="41" t="str">
        <f ca="1">IF($D11&lt;&gt;"",CHAR($D11)&amp;E11,OFFSET(Config!$AD$1,FaseGrupos!H11,2*MATCH(FaseGrupos!A11,Config!$AA$3:$AA$11,0)-1))</f>
        <v>C3</v>
      </c>
      <c r="C11" s="41" t="str">
        <f t="shared" ca="1" si="3"/>
        <v>C4</v>
      </c>
      <c r="D11" s="41">
        <f>IF(A11="G",IF(D10&lt;&gt;D9,D10,IF(D10=Config!$V$28,65,D10+1)),"")</f>
        <v>67</v>
      </c>
      <c r="E11" s="41">
        <f ca="1">OFFSET(ConfigParejas!$A$1,FaseGrupos!I11,2*INDEX(Config!$W$14:$W$27,MATCH(D11,Config!$V$14:$V$27,0))-1)</f>
        <v>3</v>
      </c>
      <c r="F11" s="41">
        <f ca="1">OFFSET(ConfigParejas!$A$1,FaseGrupos!I11,2*INDEX(Config!$W$14:$W$27,MATCH(D11,Config!$V$14:$V$27,0)))</f>
        <v>4</v>
      </c>
      <c r="H11" s="94">
        <f>IF(A11="G",ROUND((COUNTIF($D$6:D11,D11))/2,0),ROUND((COUNTIF($A$6:A11,A11)/INDEX(Config!$X$2:$AA$11,MATCH(A11,config_abreviaturas,0),1)),0))</f>
        <v>1</v>
      </c>
      <c r="I11" s="41">
        <f>COUNTIF($D$6:D11,D11)</f>
        <v>2</v>
      </c>
      <c r="J11" s="41">
        <f t="shared" si="4"/>
        <v>1</v>
      </c>
      <c r="K11" s="41">
        <f t="shared" si="0"/>
        <v>0</v>
      </c>
      <c r="L11" s="41">
        <f ca="1" xml:space="preserve"> IF(OR(P11=Equipos!$G$5,S11=Equipos!$G$5),1+COUNTIF($L$5:L10,"&gt;=1"),0)</f>
        <v>0</v>
      </c>
      <c r="M11" s="41">
        <f xml:space="preserve"> IF(Z11=Sedes!$G$3,1+COUNTIF($M$5:M10,"&gt;=1"),0)</f>
        <v>0</v>
      </c>
      <c r="N11" s="41" t="str">
        <f>IF(FaseGrupos!D11=Grupos!$A$5,FaseGrupos!I11,"")</f>
        <v/>
      </c>
      <c r="P11" s="101" t="str">
        <f ca="1">LOOKUP(B11,Config!$B$2:$B$33,Config!$E$2:$E$33)</f>
        <v>Perú</v>
      </c>
      <c r="Q11" s="95">
        <v>0</v>
      </c>
      <c r="R11" s="95">
        <v>1</v>
      </c>
      <c r="S11" s="101" t="str">
        <f ca="1">LOOKUP(C11,Config!$B$2:$B$33,Config!$E$2:$E$33)</f>
        <v>Dinamarca</v>
      </c>
      <c r="U11" s="101">
        <f t="shared" si="1"/>
        <v>1</v>
      </c>
      <c r="V11" s="101">
        <f t="shared" ca="1" si="5"/>
        <v>5.0761421319796957E-4</v>
      </c>
      <c r="W11" s="101">
        <f ca="1">V11+2*COUNTIF($V$6:V11,V11)+2*ROW()</f>
        <v>34.000507614213198</v>
      </c>
      <c r="X11" s="101">
        <f t="shared" ca="1" si="6"/>
        <v>43</v>
      </c>
      <c r="Y11" s="101"/>
      <c r="Z11" s="116" t="s">
        <v>151</v>
      </c>
      <c r="AA11" s="117">
        <f>ConfigHorarios!A7</f>
        <v>43267.75</v>
      </c>
      <c r="AC11" s="42" t="s">
        <v>102</v>
      </c>
      <c r="AD11" s="118">
        <v>4</v>
      </c>
      <c r="AE11" s="120" t="str">
        <f ca="1">VLOOKUP($AD11,Config!A2:M5,FaseGrupos!AE$2,FALSE)</f>
        <v>Egipto</v>
      </c>
      <c r="AF11" s="120">
        <f ca="1">VLOOKUP($AD11,Config!A2:M5,FaseGrupos!AF$2,FALSE)</f>
        <v>0</v>
      </c>
      <c r="AG11" s="120">
        <f ca="1">VLOOKUP($AD11,Config!A2:M5,FaseGrupos!AG$2,FALSE)</f>
        <v>3</v>
      </c>
      <c r="AH11" s="120">
        <f ca="1">VLOOKUP($AD11,Config!A2:M5,FaseGrupos!AH$2,FALSE)</f>
        <v>0</v>
      </c>
      <c r="AI11" s="120">
        <f ca="1">VLOOKUP($AD11,Config!A2:M5,FaseGrupos!AI$2,FALSE)</f>
        <v>0</v>
      </c>
      <c r="AJ11" s="120">
        <f ca="1">VLOOKUP($AD11,Config!A2:M5,FaseGrupos!AJ$2,FALSE)</f>
        <v>3</v>
      </c>
      <c r="AK11" s="120">
        <f ca="1">VLOOKUP($AD11,Config!A2:M5,FaseGrupos!AK$2,FALSE)</f>
        <v>2</v>
      </c>
      <c r="AL11" s="120">
        <f ca="1">VLOOKUP($AD11,Config!A2:M5,FaseGrupos!AL$2,FALSE)</f>
        <v>6</v>
      </c>
      <c r="AM11" s="120">
        <f ca="1">VLOOKUP($AD11,Config!A2:M5,FaseGrupos!AM$2,FALSE)</f>
        <v>-4</v>
      </c>
    </row>
    <row r="12" spans="1:39" x14ac:dyDescent="0.25">
      <c r="A12" s="42" t="str">
        <f t="shared" si="2"/>
        <v>G</v>
      </c>
      <c r="B12" s="41" t="str">
        <f ca="1">IF($D12&lt;&gt;"",CHAR($D12)&amp;E12,OFFSET(Config!$AD$1,FaseGrupos!H12,2*MATCH(FaseGrupos!A12,Config!$AA$3:$AA$11,0)-1))</f>
        <v>D1</v>
      </c>
      <c r="C12" s="41" t="str">
        <f t="shared" ca="1" si="3"/>
        <v>D2</v>
      </c>
      <c r="D12" s="41">
        <f>IF(A12="G",IF(D11&lt;&gt;D10,D11,IF(D11=Config!$V$28,65,D11+1)),"")</f>
        <v>68</v>
      </c>
      <c r="E12" s="41">
        <f ca="1">OFFSET(ConfigParejas!$A$1,FaseGrupos!I12,2*INDEX(Config!$W$14:$W$27,MATCH(D12,Config!$V$14:$V$27,0))-1)</f>
        <v>1</v>
      </c>
      <c r="F12" s="41">
        <f ca="1">OFFSET(ConfigParejas!$A$1,FaseGrupos!I12,2*INDEX(Config!$W$14:$W$27,MATCH(D12,Config!$V$14:$V$27,0)))</f>
        <v>2</v>
      </c>
      <c r="H12" s="94">
        <f>IF(A12="G",ROUND((COUNTIF($D$6:D12,D12))/2,0),ROUND((COUNTIF($A$6:A12,A12)/INDEX(Config!$X$2:$AA$11,MATCH(A12,config_abreviaturas,0),1)),0))</f>
        <v>1</v>
      </c>
      <c r="I12" s="41">
        <f>COUNTIF($D$6:D12,D12)</f>
        <v>1</v>
      </c>
      <c r="J12" s="41">
        <f t="shared" si="4"/>
        <v>1</v>
      </c>
      <c r="K12" s="41">
        <f t="shared" si="0"/>
        <v>0.5</v>
      </c>
      <c r="L12" s="41">
        <f ca="1" xml:space="preserve"> IF(OR(P12=Equipos!$G$5,S12=Equipos!$G$5),1+COUNTIF($L$5:L11,"&gt;=1"),0)</f>
        <v>0</v>
      </c>
      <c r="M12" s="41">
        <f xml:space="preserve"> IF(Z12=Sedes!$G$3,1+COUNTIF($M$5:M11,"&gt;=1"),0)</f>
        <v>0</v>
      </c>
      <c r="N12" s="41" t="str">
        <f>IF(FaseGrupos!D12=Grupos!$A$5,FaseGrupos!I12,"")</f>
        <v/>
      </c>
      <c r="P12" s="101" t="str">
        <f ca="1">LOOKUP(B12,Config!$B$2:$B$33,Config!$E$2:$E$33)</f>
        <v>Argentina</v>
      </c>
      <c r="Q12" s="95">
        <v>1</v>
      </c>
      <c r="R12" s="95">
        <v>1</v>
      </c>
      <c r="S12" s="101" t="str">
        <f ca="1">LOOKUP(C12,Config!$B$2:$B$33,Config!$E$2:$E$33)</f>
        <v>Islandia</v>
      </c>
      <c r="U12" s="101">
        <f t="shared" si="1"/>
        <v>0.5</v>
      </c>
      <c r="V12" s="101">
        <f t="shared" ca="1" si="5"/>
        <v>5.0761421319796957E-4</v>
      </c>
      <c r="W12" s="101">
        <f ca="1">V12+2*COUNTIF($V$6:V12,V12)+2*ROW()</f>
        <v>38.000507614213198</v>
      </c>
      <c r="X12" s="101">
        <f t="shared" ca="1" si="6"/>
        <v>42</v>
      </c>
      <c r="Y12" s="101"/>
      <c r="Z12" s="116" t="s">
        <v>143</v>
      </c>
      <c r="AA12" s="117">
        <f>ConfigHorarios!A8</f>
        <v>43267.625</v>
      </c>
    </row>
    <row r="13" spans="1:39" x14ac:dyDescent="0.25">
      <c r="A13" s="42" t="str">
        <f t="shared" si="2"/>
        <v>G</v>
      </c>
      <c r="B13" s="41" t="str">
        <f ca="1">IF($D13&lt;&gt;"",CHAR($D13)&amp;E13,OFFSET(Config!$AD$1,FaseGrupos!H13,2*MATCH(FaseGrupos!A13,Config!$AA$3:$AA$11,0)-1))</f>
        <v>D3</v>
      </c>
      <c r="C13" s="41" t="str">
        <f t="shared" ca="1" si="3"/>
        <v>D4</v>
      </c>
      <c r="D13" s="41">
        <f>IF(A13="G",IF(D12&lt;&gt;D11,D12,IF(D12=Config!$V$28,65,D12+1)),"")</f>
        <v>68</v>
      </c>
      <c r="E13" s="41">
        <f ca="1">OFFSET(ConfigParejas!$A$1,FaseGrupos!I13,2*INDEX(Config!$W$14:$W$27,MATCH(D13,Config!$V$14:$V$27,0))-1)</f>
        <v>3</v>
      </c>
      <c r="F13" s="41">
        <f ca="1">OFFSET(ConfigParejas!$A$1,FaseGrupos!I13,2*INDEX(Config!$W$14:$W$27,MATCH(D13,Config!$V$14:$V$27,0)))</f>
        <v>4</v>
      </c>
      <c r="H13" s="94">
        <f>IF(A13="G",ROUND((COUNTIF($D$6:D13,D13))/2,0),ROUND((COUNTIF($A$6:A13,A13)/INDEX(Config!$X$2:$AA$11,MATCH(A13,config_abreviaturas,0),1)),0))</f>
        <v>1</v>
      </c>
      <c r="I13" s="41">
        <f>COUNTIF($D$6:D13,D13)</f>
        <v>2</v>
      </c>
      <c r="J13" s="41">
        <f t="shared" si="4"/>
        <v>1</v>
      </c>
      <c r="K13" s="41">
        <f t="shared" si="0"/>
        <v>1</v>
      </c>
      <c r="L13" s="41">
        <f ca="1" xml:space="preserve"> IF(OR(P13=Equipos!$G$5,S13=Equipos!$G$5),1+COUNTIF($L$5:L12,"&gt;=1"),0)</f>
        <v>0</v>
      </c>
      <c r="M13" s="41">
        <f xml:space="preserve"> IF(Z13=Sedes!$G$3,1+COUNTIF($M$5:M12,"&gt;=1"),0)</f>
        <v>0</v>
      </c>
      <c r="N13" s="41" t="str">
        <f>IF(FaseGrupos!D13=Grupos!$A$5,FaseGrupos!I13,"")</f>
        <v/>
      </c>
      <c r="P13" s="101" t="str">
        <f ca="1">LOOKUP(B13,Config!$B$2:$B$33,Config!$E$2:$E$33)</f>
        <v>Croacia</v>
      </c>
      <c r="Q13" s="95">
        <v>2</v>
      </c>
      <c r="R13" s="95">
        <v>0</v>
      </c>
      <c r="S13" s="101" t="str">
        <f ca="1">LOOKUP(C13,Config!$B$2:$B$33,Config!$E$2:$E$33)</f>
        <v>Nigeria</v>
      </c>
      <c r="U13" s="101">
        <f t="shared" si="1"/>
        <v>0</v>
      </c>
      <c r="V13" s="101">
        <f t="shared" ca="1" si="5"/>
        <v>5.0761421319796957E-4</v>
      </c>
      <c r="W13" s="101">
        <f ca="1">V13+2*COUNTIF($V$6:V13,V13)+2*ROW()</f>
        <v>42.000507614213198</v>
      </c>
      <c r="X13" s="101">
        <f t="shared" ca="1" si="6"/>
        <v>41</v>
      </c>
      <c r="Y13" s="101"/>
      <c r="Z13" s="116" t="s">
        <v>145</v>
      </c>
      <c r="AA13" s="117">
        <f>ConfigHorarios!A9</f>
        <v>43267.875</v>
      </c>
      <c r="AD13" s="132" t="str">
        <f ca="1">Traduccion!$B$9 &amp; " " &amp; MID(FaseGrupos!AC13,2,1)</f>
        <v xml:space="preserve">Grupo </v>
      </c>
      <c r="AE13" s="132"/>
      <c r="AF13" s="118" t="str">
        <f t="shared" ref="AF13:AM13" ca="1" si="7">AF$7</f>
        <v>Pts</v>
      </c>
      <c r="AG13" s="118" t="str">
        <f t="shared" ca="1" si="7"/>
        <v>PJ</v>
      </c>
      <c r="AH13" s="118" t="str">
        <f t="shared" ca="1" si="7"/>
        <v>PG</v>
      </c>
      <c r="AI13" s="118" t="str">
        <f t="shared" ca="1" si="7"/>
        <v>PE</v>
      </c>
      <c r="AJ13" s="118" t="str">
        <f t="shared" ca="1" si="7"/>
        <v>PP</v>
      </c>
      <c r="AK13" s="118" t="str">
        <f t="shared" ca="1" si="7"/>
        <v>GF</v>
      </c>
      <c r="AL13" s="118" t="str">
        <f t="shared" ca="1" si="7"/>
        <v>GC</v>
      </c>
      <c r="AM13" s="118" t="str">
        <f t="shared" ca="1" si="7"/>
        <v>Dif</v>
      </c>
    </row>
    <row r="14" spans="1:39" x14ac:dyDescent="0.25">
      <c r="A14" s="42" t="str">
        <f t="shared" si="2"/>
        <v>G</v>
      </c>
      <c r="B14" s="41" t="str">
        <f ca="1">IF($D14&lt;&gt;"",CHAR($D14)&amp;E14,OFFSET(Config!$AD$1,FaseGrupos!H14,2*MATCH(FaseGrupos!A14,Config!$AA$3:$AA$11,0)-1))</f>
        <v>E1</v>
      </c>
      <c r="C14" s="41" t="str">
        <f t="shared" ca="1" si="3"/>
        <v>E2</v>
      </c>
      <c r="D14" s="41">
        <f>IF(A14="G",IF(D13&lt;&gt;D12,D13,IF(D13=Config!$V$28,65,D13+1)),"")</f>
        <v>69</v>
      </c>
      <c r="E14" s="41">
        <f ca="1">OFFSET(ConfigParejas!$A$1,FaseGrupos!I14,2*INDEX(Config!$W$14:$W$27,MATCH(D14,Config!$V$14:$V$27,0))-1)</f>
        <v>1</v>
      </c>
      <c r="F14" s="41">
        <f ca="1">OFFSET(ConfigParejas!$A$1,FaseGrupos!I14,2*INDEX(Config!$W$14:$W$27,MATCH(D14,Config!$V$14:$V$27,0)))</f>
        <v>2</v>
      </c>
      <c r="H14" s="94">
        <f>IF(A14="G",ROUND((COUNTIF($D$6:D14,D14))/2,0),ROUND((COUNTIF($A$6:A14,A14)/INDEX(Config!$X$2:$AA$11,MATCH(A14,config_abreviaturas,0),1)),0))</f>
        <v>1</v>
      </c>
      <c r="I14" s="41">
        <f>COUNTIF($D$6:D14,D14)</f>
        <v>1</v>
      </c>
      <c r="J14" s="41">
        <f t="shared" si="4"/>
        <v>1</v>
      </c>
      <c r="K14" s="41">
        <f t="shared" si="0"/>
        <v>0</v>
      </c>
      <c r="L14" s="41">
        <f ca="1" xml:space="preserve"> IF(OR(P14=Equipos!$G$5,S14=Equipos!$G$5),1+COUNTIF($L$5:L13,"&gt;=1"),0)</f>
        <v>0</v>
      </c>
      <c r="M14" s="41">
        <f xml:space="preserve"> IF(Z14=Sedes!$G$3,1+COUNTIF($M$5:M13,"&gt;=1"),0)</f>
        <v>0</v>
      </c>
      <c r="N14" s="41" t="str">
        <f>IF(FaseGrupos!D14=Grupos!$A$5,FaseGrupos!I14,"")</f>
        <v/>
      </c>
      <c r="P14" s="101" t="str">
        <f ca="1">LOOKUP(B14,Config!$B$2:$B$33,Config!$E$2:$E$33)</f>
        <v>Costa Rica</v>
      </c>
      <c r="Q14" s="95">
        <v>0</v>
      </c>
      <c r="R14" s="95">
        <v>1</v>
      </c>
      <c r="S14" s="101" t="str">
        <f ca="1">LOOKUP(C14,Config!$B$2:$B$33,Config!$E$2:$E$33)</f>
        <v>Serbia</v>
      </c>
      <c r="U14" s="101">
        <f t="shared" si="1"/>
        <v>1</v>
      </c>
      <c r="V14" s="101">
        <f t="shared" ca="1" si="5"/>
        <v>5.0761421319796957E-4</v>
      </c>
      <c r="W14" s="101">
        <f ca="1">V14+2*COUNTIF($V$6:V14,V14)+2*ROW()</f>
        <v>46.000507614213198</v>
      </c>
      <c r="X14" s="101">
        <f t="shared" ca="1" si="6"/>
        <v>40</v>
      </c>
      <c r="Y14" s="101"/>
      <c r="Z14" s="116" t="s">
        <v>152</v>
      </c>
      <c r="AA14" s="117">
        <f>ConfigHorarios!A10</f>
        <v>43268.583333333336</v>
      </c>
      <c r="AC14" s="42" t="s">
        <v>103</v>
      </c>
      <c r="AD14" s="118">
        <v>1</v>
      </c>
      <c r="AE14" s="119" t="str">
        <f ca="1">VLOOKUP($AD14,Config!A6:M9,FaseGrupos!AE$2,FALSE)</f>
        <v>España</v>
      </c>
      <c r="AF14" s="119">
        <f ca="1">VLOOKUP($AD14,Config!A6:M9,FaseGrupos!AF$2,FALSE)</f>
        <v>5</v>
      </c>
      <c r="AG14" s="119">
        <f ca="1">VLOOKUP($AD14,Config!A6:M9,FaseGrupos!AG$2,FALSE)</f>
        <v>3</v>
      </c>
      <c r="AH14" s="119">
        <f ca="1">VLOOKUP($AD14,Config!A6:M9,FaseGrupos!AH$2,FALSE)</f>
        <v>1</v>
      </c>
      <c r="AI14" s="119">
        <f ca="1">VLOOKUP($AD14,Config!A6:M9,FaseGrupos!AI$2,FALSE)</f>
        <v>2</v>
      </c>
      <c r="AJ14" s="119">
        <f ca="1">VLOOKUP($AD14,Config!A6:M9,FaseGrupos!AJ$2,FALSE)</f>
        <v>0</v>
      </c>
      <c r="AK14" s="119">
        <f ca="1">VLOOKUP($AD14,Config!A6:M9,FaseGrupos!AK$2,FALSE)</f>
        <v>6</v>
      </c>
      <c r="AL14" s="119">
        <f ca="1">VLOOKUP($AD14,Config!A6:M9,FaseGrupos!AL$2,FALSE)</f>
        <v>5</v>
      </c>
      <c r="AM14" s="119">
        <f ca="1">VLOOKUP($AD14,Config!A6:M9,FaseGrupos!AM$2,FALSE)</f>
        <v>1</v>
      </c>
    </row>
    <row r="15" spans="1:39" x14ac:dyDescent="0.25">
      <c r="A15" s="42" t="str">
        <f t="shared" si="2"/>
        <v>G</v>
      </c>
      <c r="B15" s="41" t="str">
        <f ca="1">IF($D15&lt;&gt;"",CHAR($D15)&amp;E15,OFFSET(Config!$AD$1,FaseGrupos!H15,2*MATCH(FaseGrupos!A15,Config!$AA$3:$AA$11,0)-1))</f>
        <v>E3</v>
      </c>
      <c r="C15" s="41" t="str">
        <f t="shared" ca="1" si="3"/>
        <v>E4</v>
      </c>
      <c r="D15" s="41">
        <f>IF(A15="G",IF(D14&lt;&gt;D13,D14,IF(D14=Config!$V$28,65,D14+1)),"")</f>
        <v>69</v>
      </c>
      <c r="E15" s="41">
        <f ca="1">OFFSET(ConfigParejas!$A$1,FaseGrupos!I15,2*INDEX(Config!$W$14:$W$27,MATCH(D15,Config!$V$14:$V$27,0))-1)</f>
        <v>3</v>
      </c>
      <c r="F15" s="41">
        <f ca="1">OFFSET(ConfigParejas!$A$1,FaseGrupos!I15,2*INDEX(Config!$W$14:$W$27,MATCH(D15,Config!$V$14:$V$27,0)))</f>
        <v>4</v>
      </c>
      <c r="H15" s="94">
        <f>IF(A15="G",ROUND((COUNTIF($D$6:D15,D15))/2,0),ROUND((COUNTIF($A$6:A15,A15)/INDEX(Config!$X$2:$AA$11,MATCH(A15,config_abreviaturas,0),1)),0))</f>
        <v>1</v>
      </c>
      <c r="I15" s="41">
        <f>COUNTIF($D$6:D15,D15)</f>
        <v>2</v>
      </c>
      <c r="J15" s="41">
        <f t="shared" si="4"/>
        <v>1</v>
      </c>
      <c r="K15" s="41">
        <f t="shared" si="0"/>
        <v>0.5</v>
      </c>
      <c r="L15" s="41">
        <f ca="1" xml:space="preserve"> IF(OR(P15=Equipos!$G$5,S15=Equipos!$G$5),1+COUNTIF($L$5:L14,"&gt;=1"),0)</f>
        <v>0</v>
      </c>
      <c r="M15" s="41">
        <f xml:space="preserve"> IF(Z15=Sedes!$G$3,1+COUNTIF($M$5:M14,"&gt;=1"),0)</f>
        <v>0</v>
      </c>
      <c r="N15" s="41" t="str">
        <f>IF(FaseGrupos!D15=Grupos!$A$5,FaseGrupos!I15,"")</f>
        <v/>
      </c>
      <c r="P15" s="101" t="str">
        <f ca="1">LOOKUP(B15,Config!$B$2:$B$33,Config!$E$2:$E$33)</f>
        <v>Brasil</v>
      </c>
      <c r="Q15" s="95">
        <v>1</v>
      </c>
      <c r="R15" s="95">
        <v>1</v>
      </c>
      <c r="S15" s="101" t="str">
        <f ca="1">LOOKUP(C15,Config!$B$2:$B$33,Config!$E$2:$E$33)</f>
        <v>Suiza</v>
      </c>
      <c r="U15" s="101">
        <f t="shared" si="1"/>
        <v>0.5</v>
      </c>
      <c r="V15" s="101">
        <f t="shared" ca="1" si="5"/>
        <v>5.0761421319796957E-4</v>
      </c>
      <c r="W15" s="101">
        <f ca="1">V15+2*COUNTIF($V$6:V15,V15)+2*ROW()</f>
        <v>50.000507614213198</v>
      </c>
      <c r="X15" s="101">
        <f t="shared" ca="1" si="6"/>
        <v>39</v>
      </c>
      <c r="Y15" s="101"/>
      <c r="Z15" s="116" t="s">
        <v>150</v>
      </c>
      <c r="AA15" s="117">
        <f>ConfigHorarios!A11</f>
        <v>43268.833333333336</v>
      </c>
      <c r="AC15" s="42" t="s">
        <v>104</v>
      </c>
      <c r="AD15" s="118">
        <v>2</v>
      </c>
      <c r="AE15" s="119" t="str">
        <f ca="1">VLOOKUP($AD15,Config!A6:M9,FaseGrupos!AE$2,FALSE)</f>
        <v>Portugal</v>
      </c>
      <c r="AF15" s="119">
        <f ca="1">VLOOKUP($AD15,Config!A6:M9,FaseGrupos!AF$2,FALSE)</f>
        <v>5</v>
      </c>
      <c r="AG15" s="119">
        <f ca="1">VLOOKUP($AD15,Config!A6:M9,FaseGrupos!AG$2,FALSE)</f>
        <v>3</v>
      </c>
      <c r="AH15" s="119">
        <f ca="1">VLOOKUP($AD15,Config!A6:M9,FaseGrupos!AH$2,FALSE)</f>
        <v>1</v>
      </c>
      <c r="AI15" s="119">
        <f ca="1">VLOOKUP($AD15,Config!A6:M9,FaseGrupos!AI$2,FALSE)</f>
        <v>2</v>
      </c>
      <c r="AJ15" s="119">
        <f ca="1">VLOOKUP($AD15,Config!A6:M9,FaseGrupos!AJ$2,FALSE)</f>
        <v>0</v>
      </c>
      <c r="AK15" s="119">
        <f ca="1">VLOOKUP($AD15,Config!A6:M9,FaseGrupos!AK$2,FALSE)</f>
        <v>5</v>
      </c>
      <c r="AL15" s="119">
        <f ca="1">VLOOKUP($AD15,Config!A6:M9,FaseGrupos!AL$2,FALSE)</f>
        <v>4</v>
      </c>
      <c r="AM15" s="119">
        <f ca="1">VLOOKUP($AD15,Config!A6:M9,FaseGrupos!AM$2,FALSE)</f>
        <v>1</v>
      </c>
    </row>
    <row r="16" spans="1:39" x14ac:dyDescent="0.25">
      <c r="A16" s="42" t="str">
        <f t="shared" si="2"/>
        <v>G</v>
      </c>
      <c r="B16" s="41" t="str">
        <f ca="1">IF($D16&lt;&gt;"",CHAR($D16)&amp;E16,OFFSET(Config!$AD$1,FaseGrupos!H16,2*MATCH(FaseGrupos!A16,Config!$AA$3:$AA$11,0)-1))</f>
        <v>F1</v>
      </c>
      <c r="C16" s="41" t="str">
        <f t="shared" ca="1" si="3"/>
        <v>F2</v>
      </c>
      <c r="D16" s="41">
        <f>IF(A16="G",IF(D15&lt;&gt;D14,D15,IF(D15=Config!$V$28,65,D15+1)),"")</f>
        <v>70</v>
      </c>
      <c r="E16" s="41">
        <f ca="1">OFFSET(ConfigParejas!$A$1,FaseGrupos!I16,2*INDEX(Config!$W$14:$W$27,MATCH(D16,Config!$V$14:$V$27,0))-1)</f>
        <v>1</v>
      </c>
      <c r="F16" s="41">
        <f ca="1">OFFSET(ConfigParejas!$A$1,FaseGrupos!I16,2*INDEX(Config!$W$14:$W$27,MATCH(D16,Config!$V$14:$V$27,0)))</f>
        <v>2</v>
      </c>
      <c r="H16" s="94">
        <f>IF(A16="G",ROUND((COUNTIF($D$6:D16,D16))/2,0),ROUND((COUNTIF($A$6:A16,A16)/INDEX(Config!$X$2:$AA$11,MATCH(A16,config_abreviaturas,0),1)),0))</f>
        <v>1</v>
      </c>
      <c r="I16" s="41">
        <f>COUNTIF($D$6:D16,D16)</f>
        <v>1</v>
      </c>
      <c r="J16" s="41">
        <f t="shared" si="4"/>
        <v>1</v>
      </c>
      <c r="K16" s="41">
        <f t="shared" si="0"/>
        <v>0</v>
      </c>
      <c r="L16" s="41">
        <f ca="1" xml:space="preserve"> IF(OR(P16=Equipos!$G$5,S16=Equipos!$G$5),1+COUNTIF($L$5:L15,"&gt;=1"),0)</f>
        <v>0</v>
      </c>
      <c r="M16" s="41">
        <f xml:space="preserve"> IF(Z16=Sedes!$G$3,1+COUNTIF($M$5:M15,"&gt;=1"),0)</f>
        <v>0</v>
      </c>
      <c r="N16" s="41" t="str">
        <f>IF(FaseGrupos!D16=Grupos!$A$5,FaseGrupos!I16,"")</f>
        <v/>
      </c>
      <c r="P16" s="101" t="str">
        <f ca="1">LOOKUP(B16,Config!$B$2:$B$33,Config!$E$2:$E$33)</f>
        <v>Alemania</v>
      </c>
      <c r="Q16" s="95">
        <v>0</v>
      </c>
      <c r="R16" s="95">
        <v>1</v>
      </c>
      <c r="S16" s="101" t="str">
        <f ca="1">LOOKUP(C16,Config!$B$2:$B$33,Config!$E$2:$E$33)</f>
        <v>México</v>
      </c>
      <c r="U16" s="101">
        <f t="shared" si="1"/>
        <v>1</v>
      </c>
      <c r="V16" s="101">
        <f t="shared" ca="1" si="5"/>
        <v>5.0761421319796957E-4</v>
      </c>
      <c r="W16" s="101">
        <f ca="1">V16+2*COUNTIF($V$6:V16,V16)+2*ROW()</f>
        <v>54.000507614213198</v>
      </c>
      <c r="X16" s="101">
        <f t="shared" ca="1" si="6"/>
        <v>38</v>
      </c>
      <c r="Y16" s="101"/>
      <c r="Z16" s="116" t="s">
        <v>165</v>
      </c>
      <c r="AA16" s="117">
        <f>ConfigHorarios!A12</f>
        <v>43268.708333333336</v>
      </c>
      <c r="AC16" s="42" t="s">
        <v>105</v>
      </c>
      <c r="AD16" s="118">
        <v>3</v>
      </c>
      <c r="AE16" s="120" t="str">
        <f ca="1">VLOOKUP($AD16,Config!A6:M9,FaseGrupos!AE$2,FALSE)</f>
        <v>Irán</v>
      </c>
      <c r="AF16" s="120">
        <f ca="1">VLOOKUP($AD16,Config!A6:M9,FaseGrupos!AF$2,FALSE)</f>
        <v>4</v>
      </c>
      <c r="AG16" s="120">
        <f ca="1">VLOOKUP($AD16,Config!A6:M9,FaseGrupos!AG$2,FALSE)</f>
        <v>3</v>
      </c>
      <c r="AH16" s="120">
        <f ca="1">VLOOKUP($AD16,Config!A6:M9,FaseGrupos!AH$2,FALSE)</f>
        <v>1</v>
      </c>
      <c r="AI16" s="120">
        <f ca="1">VLOOKUP($AD16,Config!A6:M9,FaseGrupos!AI$2,FALSE)</f>
        <v>1</v>
      </c>
      <c r="AJ16" s="120">
        <f ca="1">VLOOKUP($AD16,Config!A6:M9,FaseGrupos!AJ$2,FALSE)</f>
        <v>1</v>
      </c>
      <c r="AK16" s="120">
        <f ca="1">VLOOKUP($AD16,Config!A6:M9,FaseGrupos!AK$2,FALSE)</f>
        <v>2</v>
      </c>
      <c r="AL16" s="120">
        <f ca="1">VLOOKUP($AD16,Config!A6:M9,FaseGrupos!AL$2,FALSE)</f>
        <v>2</v>
      </c>
      <c r="AM16" s="120">
        <f ca="1">VLOOKUP($AD16,Config!A6:M9,FaseGrupos!AM$2,FALSE)</f>
        <v>0</v>
      </c>
    </row>
    <row r="17" spans="1:39" x14ac:dyDescent="0.25">
      <c r="A17" s="42" t="str">
        <f t="shared" si="2"/>
        <v>G</v>
      </c>
      <c r="B17" s="41" t="str">
        <f ca="1">IF($D17&lt;&gt;"",CHAR($D17)&amp;E17,OFFSET(Config!$AD$1,FaseGrupos!H17,2*MATCH(FaseGrupos!A17,Config!$AA$3:$AA$11,0)-1))</f>
        <v>F3</v>
      </c>
      <c r="C17" s="41" t="str">
        <f t="shared" ca="1" si="3"/>
        <v>F4</v>
      </c>
      <c r="D17" s="41">
        <f>IF(A17="G",IF(D16&lt;&gt;D15,D16,IF(D16=Config!$V$28,65,D16+1)),"")</f>
        <v>70</v>
      </c>
      <c r="E17" s="41">
        <f ca="1">OFFSET(ConfigParejas!$A$1,FaseGrupos!I17,2*INDEX(Config!$W$14:$W$27,MATCH(D17,Config!$V$14:$V$27,0))-1)</f>
        <v>3</v>
      </c>
      <c r="F17" s="41">
        <f ca="1">OFFSET(ConfigParejas!$A$1,FaseGrupos!I17,2*INDEX(Config!$W$14:$W$27,MATCH(D17,Config!$V$14:$V$27,0)))</f>
        <v>4</v>
      </c>
      <c r="H17" s="94">
        <f>IF(A17="G",ROUND((COUNTIF($D$6:D17,D17))/2,0),ROUND((COUNTIF($A$6:A17,A17)/INDEX(Config!$X$2:$AA$11,MATCH(A17,config_abreviaturas,0),1)),0))</f>
        <v>1</v>
      </c>
      <c r="I17" s="41">
        <f>COUNTIF($D$6:D17,D17)</f>
        <v>2</v>
      </c>
      <c r="J17" s="41">
        <f t="shared" si="4"/>
        <v>1</v>
      </c>
      <c r="K17" s="41">
        <f t="shared" si="0"/>
        <v>1</v>
      </c>
      <c r="L17" s="41">
        <f ca="1" xml:space="preserve"> IF(OR(P17=Equipos!$G$5,S17=Equipos!$G$5),1+COUNTIF($L$5:L16,"&gt;=1"),0)</f>
        <v>0</v>
      </c>
      <c r="M17" s="41">
        <f xml:space="preserve"> IF(Z17=Sedes!$G$3,1+COUNTIF($M$5:M16,"&gt;=1"),0)</f>
        <v>0</v>
      </c>
      <c r="N17" s="41" t="str">
        <f>IF(FaseGrupos!D17=Grupos!$A$5,FaseGrupos!I17,"")</f>
        <v/>
      </c>
      <c r="P17" s="101" t="str">
        <f ca="1">LOOKUP(B17,Config!$B$2:$B$33,Config!$E$2:$E$33)</f>
        <v>Suecia</v>
      </c>
      <c r="Q17" s="95">
        <v>1</v>
      </c>
      <c r="R17" s="95">
        <v>0</v>
      </c>
      <c r="S17" s="101" t="str">
        <f ca="1">LOOKUP(C17,Config!$B$2:$B$33,Config!$E$2:$E$33)</f>
        <v>Corea del Sur</v>
      </c>
      <c r="U17" s="101">
        <f t="shared" si="1"/>
        <v>0</v>
      </c>
      <c r="V17" s="101">
        <f t="shared" ca="1" si="5"/>
        <v>5.0761421319796957E-4</v>
      </c>
      <c r="W17" s="101">
        <f ca="1">V17+2*COUNTIF($V$6:V17,V17)+2*ROW()</f>
        <v>58.000507614213198</v>
      </c>
      <c r="X17" s="101">
        <f t="shared" ca="1" si="6"/>
        <v>37</v>
      </c>
      <c r="Y17" s="101"/>
      <c r="Z17" s="116" t="s">
        <v>146</v>
      </c>
      <c r="AA17" s="117">
        <f>ConfigHorarios!A13</f>
        <v>43269.583333333336</v>
      </c>
      <c r="AC17" s="42" t="s">
        <v>106</v>
      </c>
      <c r="AD17" s="118">
        <v>4</v>
      </c>
      <c r="AE17" s="120" t="str">
        <f ca="1">VLOOKUP($AD17,Config!A6:M9,FaseGrupos!AE$2,FALSE)</f>
        <v>Marruecos</v>
      </c>
      <c r="AF17" s="120">
        <f ca="1">VLOOKUP($AD17,Config!A6:M9,FaseGrupos!AF$2,FALSE)</f>
        <v>1</v>
      </c>
      <c r="AG17" s="120">
        <f ca="1">VLOOKUP($AD17,Config!A6:M9,FaseGrupos!AG$2,FALSE)</f>
        <v>3</v>
      </c>
      <c r="AH17" s="120">
        <f ca="1">VLOOKUP($AD17,Config!A6:M9,FaseGrupos!AH$2,FALSE)</f>
        <v>0</v>
      </c>
      <c r="AI17" s="120">
        <f ca="1">VLOOKUP($AD17,Config!A6:M9,FaseGrupos!AI$2,FALSE)</f>
        <v>1</v>
      </c>
      <c r="AJ17" s="120">
        <f ca="1">VLOOKUP($AD17,Config!A6:M9,FaseGrupos!AJ$2,FALSE)</f>
        <v>2</v>
      </c>
      <c r="AK17" s="120">
        <f ca="1">VLOOKUP($AD17,Config!A6:M9,FaseGrupos!AK$2,FALSE)</f>
        <v>2</v>
      </c>
      <c r="AL17" s="120">
        <f ca="1">VLOOKUP($AD17,Config!A6:M9,FaseGrupos!AL$2,FALSE)</f>
        <v>4</v>
      </c>
      <c r="AM17" s="120">
        <f ca="1">VLOOKUP($AD17,Config!A6:M9,FaseGrupos!AM$2,FALSE)</f>
        <v>-2</v>
      </c>
    </row>
    <row r="18" spans="1:39" x14ac:dyDescent="0.25">
      <c r="A18" s="42" t="str">
        <f t="shared" si="2"/>
        <v>G</v>
      </c>
      <c r="B18" s="41" t="str">
        <f ca="1">IF($D18&lt;&gt;"",CHAR($D18)&amp;E18,OFFSET(Config!$AD$1,FaseGrupos!H18,2*MATCH(FaseGrupos!A18,Config!$AA$3:$AA$11,0)-1))</f>
        <v>G1</v>
      </c>
      <c r="C18" s="41" t="str">
        <f t="shared" ca="1" si="3"/>
        <v>G2</v>
      </c>
      <c r="D18" s="41">
        <f>IF(A18="G",IF(D17&lt;&gt;D16,D17,IF(D17=Config!$V$28,65,D17+1)),"")</f>
        <v>71</v>
      </c>
      <c r="E18" s="41">
        <f ca="1">OFFSET(ConfigParejas!$A$1,FaseGrupos!I18,2*INDEX(Config!$W$14:$W$27,MATCH(D18,Config!$V$14:$V$27,0))-1)</f>
        <v>1</v>
      </c>
      <c r="F18" s="41">
        <f ca="1">OFFSET(ConfigParejas!$A$1,FaseGrupos!I18,2*INDEX(Config!$W$14:$W$27,MATCH(D18,Config!$V$14:$V$27,0)))</f>
        <v>2</v>
      </c>
      <c r="H18" s="94">
        <f>IF(A18="G",ROUND((COUNTIF($D$6:D18,D18))/2,0),ROUND((COUNTIF($A$6:A18,A18)/INDEX(Config!$X$2:$AA$11,MATCH(A18,config_abreviaturas,0),1)),0))</f>
        <v>1</v>
      </c>
      <c r="I18" s="41">
        <f>COUNTIF($D$6:D18,D18)</f>
        <v>1</v>
      </c>
      <c r="J18" s="41">
        <f t="shared" si="4"/>
        <v>1</v>
      </c>
      <c r="K18" s="41">
        <f t="shared" si="0"/>
        <v>1</v>
      </c>
      <c r="L18" s="41">
        <f ca="1" xml:space="preserve"> IF(OR(P18=Equipos!$G$5,S18=Equipos!$G$5),1+COUNTIF($L$5:L17,"&gt;=1"),0)</f>
        <v>0</v>
      </c>
      <c r="M18" s="41">
        <f xml:space="preserve"> IF(Z18=Sedes!$G$3,1+COUNTIF($M$5:M17,"&gt;=1"),0)</f>
        <v>0</v>
      </c>
      <c r="N18" s="41" t="str">
        <f>IF(FaseGrupos!D18=Grupos!$A$5,FaseGrupos!I18,"")</f>
        <v/>
      </c>
      <c r="P18" s="101" t="str">
        <f ca="1">LOOKUP(B18,Config!$B$2:$B$33,Config!$E$2:$E$33)</f>
        <v>Bélgica</v>
      </c>
      <c r="Q18" s="95">
        <v>3</v>
      </c>
      <c r="R18" s="95">
        <v>0</v>
      </c>
      <c r="S18" s="101" t="str">
        <f ca="1">LOOKUP(C18,Config!$B$2:$B$33,Config!$E$2:$E$33)</f>
        <v>Panamá</v>
      </c>
      <c r="U18" s="101">
        <f t="shared" si="1"/>
        <v>0</v>
      </c>
      <c r="V18" s="101">
        <f t="shared" ca="1" si="5"/>
        <v>5.0761421319796957E-4</v>
      </c>
      <c r="W18" s="101">
        <f ca="1">V18+2*COUNTIF($V$6:V18,V18)+2*ROW()</f>
        <v>62.000507614213198</v>
      </c>
      <c r="X18" s="101">
        <f t="shared" ca="1" si="6"/>
        <v>36</v>
      </c>
      <c r="Y18" s="101"/>
      <c r="Z18" s="116" t="s">
        <v>149</v>
      </c>
      <c r="AA18" s="117">
        <f>ConfigHorarios!A14</f>
        <v>43269.708333333336</v>
      </c>
    </row>
    <row r="19" spans="1:39" x14ac:dyDescent="0.25">
      <c r="A19" s="42" t="str">
        <f t="shared" si="2"/>
        <v>G</v>
      </c>
      <c r="B19" s="41" t="str">
        <f ca="1">IF($D19&lt;&gt;"",CHAR($D19)&amp;E19,OFFSET(Config!$AD$1,FaseGrupos!H19,2*MATCH(FaseGrupos!A19,Config!$AA$3:$AA$11,0)-1))</f>
        <v>G3</v>
      </c>
      <c r="C19" s="41" t="str">
        <f t="shared" ca="1" si="3"/>
        <v>G4</v>
      </c>
      <c r="D19" s="41">
        <f>IF(A19="G",IF(D18&lt;&gt;D17,D18,IF(D18=Config!$V$28,65,D18+1)),"")</f>
        <v>71</v>
      </c>
      <c r="E19" s="41">
        <f ca="1">OFFSET(ConfigParejas!$A$1,FaseGrupos!I19,2*INDEX(Config!$W$14:$W$27,MATCH(D19,Config!$V$14:$V$27,0))-1)</f>
        <v>3</v>
      </c>
      <c r="F19" s="41">
        <f ca="1">OFFSET(ConfigParejas!$A$1,FaseGrupos!I19,2*INDEX(Config!$W$14:$W$27,MATCH(D19,Config!$V$14:$V$27,0)))</f>
        <v>4</v>
      </c>
      <c r="H19" s="94">
        <f>IF(A19="G",ROUND((COUNTIF($D$6:D19,D19))/2,0),ROUND((COUNTIF($A$6:A19,A19)/INDEX(Config!$X$2:$AA$11,MATCH(A19,config_abreviaturas,0),1)),0))</f>
        <v>1</v>
      </c>
      <c r="I19" s="41">
        <f>COUNTIF($D$6:D19,D19)</f>
        <v>2</v>
      </c>
      <c r="J19" s="41">
        <f t="shared" si="4"/>
        <v>1</v>
      </c>
      <c r="K19" s="41">
        <f t="shared" si="0"/>
        <v>0</v>
      </c>
      <c r="L19" s="41">
        <f ca="1" xml:space="preserve"> IF(OR(P19=Equipos!$G$5,S19=Equipos!$G$5),1+COUNTIF($L$5:L18,"&gt;=1"),0)</f>
        <v>0</v>
      </c>
      <c r="M19" s="41">
        <f xml:space="preserve"> IF(Z19=Sedes!$G$3,1+COUNTIF($M$5:M18,"&gt;=1"),0)</f>
        <v>0</v>
      </c>
      <c r="N19" s="41" t="str">
        <f>IF(FaseGrupos!D19=Grupos!$A$5,FaseGrupos!I19,"")</f>
        <v/>
      </c>
      <c r="P19" s="101" t="str">
        <f ca="1">LOOKUP(B19,Config!$B$2:$B$33,Config!$E$2:$E$33)</f>
        <v>Túnez</v>
      </c>
      <c r="Q19" s="95">
        <v>1</v>
      </c>
      <c r="R19" s="95">
        <v>2</v>
      </c>
      <c r="S19" s="101" t="str">
        <f ca="1">LOOKUP(C19,Config!$B$2:$B$33,Config!$E$2:$E$33)</f>
        <v>Inglaterra</v>
      </c>
      <c r="U19" s="101">
        <f t="shared" si="1"/>
        <v>1</v>
      </c>
      <c r="V19" s="101">
        <f t="shared" ca="1" si="5"/>
        <v>5.0761421319796957E-4</v>
      </c>
      <c r="W19" s="101">
        <f ca="1">V19+2*COUNTIF($V$6:V19,V19)+2*ROW()</f>
        <v>66.000507614213205</v>
      </c>
      <c r="X19" s="101">
        <f t="shared" ca="1" si="6"/>
        <v>35</v>
      </c>
      <c r="Y19" s="101"/>
      <c r="Z19" s="116" t="s">
        <v>147</v>
      </c>
      <c r="AA19" s="117">
        <f>ConfigHorarios!A15</f>
        <v>43269.833333333336</v>
      </c>
      <c r="AD19" s="132" t="str">
        <f ca="1">Traduccion!$B$9 &amp; " " &amp; MID(FaseGrupos!AC19,2,1)</f>
        <v xml:space="preserve">Grupo </v>
      </c>
      <c r="AE19" s="132"/>
      <c r="AF19" s="118" t="str">
        <f t="shared" ref="AF19:AM19" ca="1" si="8">AF$7</f>
        <v>Pts</v>
      </c>
      <c r="AG19" s="118" t="str">
        <f t="shared" ca="1" si="8"/>
        <v>PJ</v>
      </c>
      <c r="AH19" s="118" t="str">
        <f t="shared" ca="1" si="8"/>
        <v>PG</v>
      </c>
      <c r="AI19" s="118" t="str">
        <f t="shared" ca="1" si="8"/>
        <v>PE</v>
      </c>
      <c r="AJ19" s="118" t="str">
        <f t="shared" ca="1" si="8"/>
        <v>PP</v>
      </c>
      <c r="AK19" s="118" t="str">
        <f t="shared" ca="1" si="8"/>
        <v>GF</v>
      </c>
      <c r="AL19" s="118" t="str">
        <f t="shared" ca="1" si="8"/>
        <v>GC</v>
      </c>
      <c r="AM19" s="118" t="str">
        <f t="shared" ca="1" si="8"/>
        <v>Dif</v>
      </c>
    </row>
    <row r="20" spans="1:39" x14ac:dyDescent="0.25">
      <c r="A20" s="42" t="str">
        <f t="shared" si="2"/>
        <v>G</v>
      </c>
      <c r="B20" s="41" t="str">
        <f ca="1">IF($D20&lt;&gt;"",CHAR($D20)&amp;E20,OFFSET(Config!$AD$1,FaseGrupos!H20,2*MATCH(FaseGrupos!A20,Config!$AA$3:$AA$11,0)-1))</f>
        <v>H1</v>
      </c>
      <c r="C20" s="41" t="str">
        <f t="shared" ca="1" si="3"/>
        <v>H2</v>
      </c>
      <c r="D20" s="41">
        <f>IF(A20="G",IF(D19&lt;&gt;D18,D19,IF(D19=Config!$V$28,65,D19+1)),"")</f>
        <v>72</v>
      </c>
      <c r="E20" s="41">
        <f ca="1">OFFSET(ConfigParejas!$A$1,FaseGrupos!I20,2*INDEX(Config!$W$14:$W$27,MATCH(D20,Config!$V$14:$V$27,0))-1)</f>
        <v>1</v>
      </c>
      <c r="F20" s="41">
        <f ca="1">OFFSET(ConfigParejas!$A$1,FaseGrupos!I20,2*INDEX(Config!$W$14:$W$27,MATCH(D20,Config!$V$14:$V$27,0)))</f>
        <v>2</v>
      </c>
      <c r="H20" s="94">
        <f>IF(A20="G",ROUND((COUNTIF($D$6:D20,D20))/2,0),ROUND((COUNTIF($A$6:A20,A20)/INDEX(Config!$X$2:$AA$11,MATCH(A20,config_abreviaturas,0),1)),0))</f>
        <v>1</v>
      </c>
      <c r="I20" s="41">
        <f>COUNTIF($D$6:D20,D20)</f>
        <v>1</v>
      </c>
      <c r="J20" s="41">
        <f t="shared" si="4"/>
        <v>1</v>
      </c>
      <c r="K20" s="41">
        <f t="shared" si="0"/>
        <v>0</v>
      </c>
      <c r="L20" s="41">
        <f ca="1" xml:space="preserve"> IF(OR(P20=Equipos!$G$5,S20=Equipos!$G$5),1+COUNTIF($L$5:L19,"&gt;=1"),0)</f>
        <v>0</v>
      </c>
      <c r="M20" s="41">
        <f xml:space="preserve"> IF(Z20=Sedes!$G$3,1+COUNTIF($M$5:M19,"&gt;=1"),0)</f>
        <v>0</v>
      </c>
      <c r="N20" s="41" t="str">
        <f>IF(FaseGrupos!D20=Grupos!$A$5,FaseGrupos!I20,"")</f>
        <v/>
      </c>
      <c r="P20" s="101" t="str">
        <f ca="1">LOOKUP(B20,Config!$B$2:$B$33,Config!$E$2:$E$33)</f>
        <v>Colombia</v>
      </c>
      <c r="Q20" s="95">
        <v>1</v>
      </c>
      <c r="R20" s="95">
        <v>2</v>
      </c>
      <c r="S20" s="101" t="str">
        <f ca="1">LOOKUP(C20,Config!$B$2:$B$33,Config!$E$2:$E$33)</f>
        <v>Japón</v>
      </c>
      <c r="U20" s="101">
        <f t="shared" si="1"/>
        <v>1</v>
      </c>
      <c r="V20" s="101">
        <f t="shared" ca="1" si="5"/>
        <v>5.0761421319796957E-4</v>
      </c>
      <c r="W20" s="101">
        <f ca="1">V20+2*COUNTIF($V$6:V20,V20)+2*ROW()</f>
        <v>70.000507614213205</v>
      </c>
      <c r="X20" s="101">
        <f t="shared" ca="1" si="6"/>
        <v>34</v>
      </c>
      <c r="Y20" s="101"/>
      <c r="Z20" s="116" t="s">
        <v>151</v>
      </c>
      <c r="AA20" s="117">
        <f>ConfigHorarios!A16</f>
        <v>43270.583333333336</v>
      </c>
      <c r="AC20" s="42" t="s">
        <v>107</v>
      </c>
      <c r="AD20" s="118">
        <v>1</v>
      </c>
      <c r="AE20" s="119" t="str">
        <f ca="1">VLOOKUP($AD20,Config!A10:M13,FaseGrupos!AE$2,FALSE)</f>
        <v>Francia</v>
      </c>
      <c r="AF20" s="119">
        <f ca="1">VLOOKUP($AD20,Config!A10:M13,FaseGrupos!AF$2,FALSE)</f>
        <v>7</v>
      </c>
      <c r="AG20" s="119">
        <f ca="1">VLOOKUP($AD20,Config!A10:M13,FaseGrupos!AG$2,FALSE)</f>
        <v>3</v>
      </c>
      <c r="AH20" s="119">
        <f ca="1">VLOOKUP($AD20,Config!A10:M13,FaseGrupos!AH$2,FALSE)</f>
        <v>2</v>
      </c>
      <c r="AI20" s="119">
        <f ca="1">VLOOKUP($AD20,Config!A10:M13,FaseGrupos!AI$2,FALSE)</f>
        <v>1</v>
      </c>
      <c r="AJ20" s="119">
        <f ca="1">VLOOKUP($AD20,Config!A10:M13,FaseGrupos!AJ$2,FALSE)</f>
        <v>0</v>
      </c>
      <c r="AK20" s="119">
        <f ca="1">VLOOKUP($AD20,Config!A10:M13,FaseGrupos!AK$2,FALSE)</f>
        <v>3</v>
      </c>
      <c r="AL20" s="119">
        <f ca="1">VLOOKUP($AD20,Config!A10:M13,FaseGrupos!AL$2,FALSE)</f>
        <v>1</v>
      </c>
      <c r="AM20" s="119">
        <f ca="1">VLOOKUP($AD20,Config!A10:M13,FaseGrupos!AM$2,FALSE)</f>
        <v>2</v>
      </c>
    </row>
    <row r="21" spans="1:39" x14ac:dyDescent="0.25">
      <c r="A21" s="42" t="str">
        <f t="shared" si="2"/>
        <v>G</v>
      </c>
      <c r="B21" s="41" t="str">
        <f ca="1">IF($D21&lt;&gt;"",CHAR($D21)&amp;E21,OFFSET(Config!$AD$1,FaseGrupos!H21,2*MATCH(FaseGrupos!A21,Config!$AA$3:$AA$11,0)-1))</f>
        <v>H3</v>
      </c>
      <c r="C21" s="41" t="str">
        <f t="shared" ca="1" si="3"/>
        <v>H4</v>
      </c>
      <c r="D21" s="41">
        <f>IF(A21="G",IF(D20&lt;&gt;D19,D20,IF(D20=Config!$V$28,65,D20+1)),"")</f>
        <v>72</v>
      </c>
      <c r="E21" s="41">
        <f ca="1">OFFSET(ConfigParejas!$A$1,FaseGrupos!I21,2*INDEX(Config!$W$14:$W$27,MATCH(D21,Config!$V$14:$V$27,0))-1)</f>
        <v>3</v>
      </c>
      <c r="F21" s="41">
        <f ca="1">OFFSET(ConfigParejas!$A$1,FaseGrupos!I21,2*INDEX(Config!$W$14:$W$27,MATCH(D21,Config!$V$14:$V$27,0)))</f>
        <v>4</v>
      </c>
      <c r="H21" s="94">
        <f>IF(A21="G",ROUND((COUNTIF($D$6:D21,D21))/2,0),ROUND((COUNTIF($A$6:A21,A21)/INDEX(Config!$X$2:$AA$11,MATCH(A21,config_abreviaturas,0),1)),0))</f>
        <v>1</v>
      </c>
      <c r="I21" s="41">
        <f>COUNTIF($D$6:D21,D21)</f>
        <v>2</v>
      </c>
      <c r="J21" s="41">
        <f t="shared" si="4"/>
        <v>1</v>
      </c>
      <c r="K21" s="41">
        <f t="shared" si="0"/>
        <v>0</v>
      </c>
      <c r="L21" s="41">
        <f ca="1" xml:space="preserve"> IF(OR(P21=Equipos!$G$5,S21=Equipos!$G$5),1+COUNTIF($L$5:L20,"&gt;=1"),0)</f>
        <v>0</v>
      </c>
      <c r="M21" s="41">
        <f xml:space="preserve"> IF(Z21=Sedes!$G$3,1+COUNTIF($M$5:M20,"&gt;=1"),0)</f>
        <v>0</v>
      </c>
      <c r="N21" s="41" t="str">
        <f>IF(FaseGrupos!D21=Grupos!$A$5,FaseGrupos!I21,"")</f>
        <v/>
      </c>
      <c r="P21" s="101" t="str">
        <f ca="1">LOOKUP(B21,Config!$B$2:$B$33,Config!$E$2:$E$33)</f>
        <v>Polonia</v>
      </c>
      <c r="Q21" s="95">
        <v>1</v>
      </c>
      <c r="R21" s="95">
        <v>2</v>
      </c>
      <c r="S21" s="101" t="str">
        <f ca="1">LOOKUP(C21,Config!$B$2:$B$33,Config!$E$2:$E$33)</f>
        <v>Senegal</v>
      </c>
      <c r="U21" s="101">
        <f t="shared" si="1"/>
        <v>1</v>
      </c>
      <c r="V21" s="101">
        <f t="shared" ca="1" si="5"/>
        <v>5.0761421319796957E-4</v>
      </c>
      <c r="W21" s="101">
        <f ca="1">V21+2*COUNTIF($V$6:V21,V21)+2*ROW()</f>
        <v>74.000507614213205</v>
      </c>
      <c r="X21" s="101">
        <f t="shared" ca="1" si="6"/>
        <v>33</v>
      </c>
      <c r="Y21" s="101"/>
      <c r="Z21" s="116" t="s">
        <v>143</v>
      </c>
      <c r="AA21" s="117">
        <f>ConfigHorarios!A17</f>
        <v>43270.708333333336</v>
      </c>
      <c r="AC21" s="42" t="s">
        <v>108</v>
      </c>
      <c r="AD21" s="118">
        <v>2</v>
      </c>
      <c r="AE21" s="119" t="str">
        <f ca="1">VLOOKUP($AD21,Config!A10:M13,FaseGrupos!AE$2,FALSE)</f>
        <v>Dinamarca</v>
      </c>
      <c r="AF21" s="119">
        <f ca="1">VLOOKUP($AD21,Config!A10:M13,FaseGrupos!AF$2,FALSE)</f>
        <v>5</v>
      </c>
      <c r="AG21" s="119">
        <f ca="1">VLOOKUP($AD21,Config!A10:M13,FaseGrupos!AG$2,FALSE)</f>
        <v>3</v>
      </c>
      <c r="AH21" s="119">
        <f ca="1">VLOOKUP($AD21,Config!A10:M13,FaseGrupos!AH$2,FALSE)</f>
        <v>1</v>
      </c>
      <c r="AI21" s="119">
        <f ca="1">VLOOKUP($AD21,Config!A10:M13,FaseGrupos!AI$2,FALSE)</f>
        <v>2</v>
      </c>
      <c r="AJ21" s="119">
        <f ca="1">VLOOKUP($AD21,Config!A10:M13,FaseGrupos!AJ$2,FALSE)</f>
        <v>0</v>
      </c>
      <c r="AK21" s="119">
        <f ca="1">VLOOKUP($AD21,Config!A10:M13,FaseGrupos!AK$2,FALSE)</f>
        <v>2</v>
      </c>
      <c r="AL21" s="119">
        <f ca="1">VLOOKUP($AD21,Config!A10:M13,FaseGrupos!AL$2,FALSE)</f>
        <v>1</v>
      </c>
      <c r="AM21" s="119">
        <f ca="1">VLOOKUP($AD21,Config!A10:M13,FaseGrupos!AM$2,FALSE)</f>
        <v>1</v>
      </c>
    </row>
    <row r="22" spans="1:39" x14ac:dyDescent="0.25">
      <c r="A22" s="42" t="str">
        <f t="shared" si="2"/>
        <v>G</v>
      </c>
      <c r="B22" s="41" t="str">
        <f ca="1">IF($D22&lt;&gt;"",CHAR($D22)&amp;E22,OFFSET(Config!$AD$1,FaseGrupos!H22,2*MATCH(FaseGrupos!A22,Config!$AA$3:$AA$11,0)-1))</f>
        <v>A3</v>
      </c>
      <c r="C22" s="41" t="str">
        <f t="shared" ca="1" si="3"/>
        <v>A1</v>
      </c>
      <c r="D22" s="41">
        <f>IF(A22="G",IF(D21&lt;&gt;D20,D21,IF(D21=Config!$V$28,65,D21+1)),"")</f>
        <v>65</v>
      </c>
      <c r="E22" s="41">
        <f ca="1">OFFSET(ConfigParejas!$A$1,FaseGrupos!I22,2*INDEX(Config!$W$14:$W$27,MATCH(D22,Config!$V$14:$V$27,0))-1)</f>
        <v>3</v>
      </c>
      <c r="F22" s="41">
        <f ca="1">OFFSET(ConfigParejas!$A$1,FaseGrupos!I22,2*INDEX(Config!$W$14:$W$27,MATCH(D22,Config!$V$14:$V$27,0)))</f>
        <v>1</v>
      </c>
      <c r="H22" s="94">
        <f>IF(A22="G",ROUND((COUNTIF($D$6:D22,D22))/2,0),ROUND((COUNTIF($A$6:A22,A22)/INDEX(Config!$X$2:$AA$11,MATCH(A22,config_abreviaturas,0),1)),0))</f>
        <v>2</v>
      </c>
      <c r="I22" s="41">
        <f>COUNTIF($D$6:D22,D22)</f>
        <v>3</v>
      </c>
      <c r="J22" s="41">
        <f t="shared" si="4"/>
        <v>1</v>
      </c>
      <c r="K22" s="41">
        <f t="shared" si="0"/>
        <v>0</v>
      </c>
      <c r="L22" s="41">
        <f ca="1" xml:space="preserve"> IF(OR(P22=Equipos!$G$5,S22=Equipos!$G$5),1+COUNTIF($L$5:L21,"&gt;=1"),0)</f>
        <v>0</v>
      </c>
      <c r="M22" s="41">
        <f xml:space="preserve"> IF(Z22=Sedes!$G$3,1+COUNTIF($M$5:M21,"&gt;=1"),0)</f>
        <v>2</v>
      </c>
      <c r="N22" s="41" t="str">
        <f>IF(FaseGrupos!D22=Grupos!$A$5,FaseGrupos!I22,"")</f>
        <v/>
      </c>
      <c r="P22" s="101" t="str">
        <f ca="1">LOOKUP(B22,Config!$B$2:$B$33,Config!$E$2:$E$33)</f>
        <v>Egipto</v>
      </c>
      <c r="Q22" s="95">
        <v>1</v>
      </c>
      <c r="R22" s="95">
        <v>3</v>
      </c>
      <c r="S22" s="101" t="str">
        <f ca="1">LOOKUP(C22,Config!$B$2:$B$33,Config!$E$2:$E$33)</f>
        <v>Rusia</v>
      </c>
      <c r="U22" s="101">
        <f t="shared" si="1"/>
        <v>1</v>
      </c>
      <c r="V22" s="101">
        <f t="shared" ca="1" si="5"/>
        <v>5.0761421319796957E-4</v>
      </c>
      <c r="W22" s="101">
        <f ca="1">V22+2*COUNTIF($V$6:V22,V22)+2*ROW()</f>
        <v>78.000507614213205</v>
      </c>
      <c r="X22" s="101">
        <f t="shared" ca="1" si="6"/>
        <v>32</v>
      </c>
      <c r="Y22" s="101"/>
      <c r="Z22" s="116" t="s">
        <v>144</v>
      </c>
      <c r="AA22" s="117">
        <f>ConfigHorarios!A18</f>
        <v>43270.833333333336</v>
      </c>
      <c r="AC22" s="42" t="s">
        <v>109</v>
      </c>
      <c r="AD22" s="118">
        <v>3</v>
      </c>
      <c r="AE22" s="120" t="str">
        <f ca="1">VLOOKUP($AD22,Config!A10:M13,FaseGrupos!AE$2,FALSE)</f>
        <v>Perú</v>
      </c>
      <c r="AF22" s="120">
        <f ca="1">VLOOKUP($AD22,Config!A10:M13,FaseGrupos!AF$2,FALSE)</f>
        <v>3</v>
      </c>
      <c r="AG22" s="120">
        <f ca="1">VLOOKUP($AD22,Config!A10:M13,FaseGrupos!AG$2,FALSE)</f>
        <v>3</v>
      </c>
      <c r="AH22" s="120">
        <f ca="1">VLOOKUP($AD22,Config!A10:M13,FaseGrupos!AH$2,FALSE)</f>
        <v>1</v>
      </c>
      <c r="AI22" s="120">
        <f ca="1">VLOOKUP($AD22,Config!A10:M13,FaseGrupos!AI$2,FALSE)</f>
        <v>0</v>
      </c>
      <c r="AJ22" s="120">
        <f ca="1">VLOOKUP($AD22,Config!A10:M13,FaseGrupos!AJ$2,FALSE)</f>
        <v>2</v>
      </c>
      <c r="AK22" s="120">
        <f ca="1">VLOOKUP($AD22,Config!A10:M13,FaseGrupos!AK$2,FALSE)</f>
        <v>2</v>
      </c>
      <c r="AL22" s="120">
        <f ca="1">VLOOKUP($AD22,Config!A10:M13,FaseGrupos!AL$2,FALSE)</f>
        <v>2</v>
      </c>
      <c r="AM22" s="120">
        <f ca="1">VLOOKUP($AD22,Config!A10:M13,FaseGrupos!AM$2,FALSE)</f>
        <v>0</v>
      </c>
    </row>
    <row r="23" spans="1:39" x14ac:dyDescent="0.25">
      <c r="A23" s="42" t="str">
        <f t="shared" si="2"/>
        <v>G</v>
      </c>
      <c r="B23" s="41" t="str">
        <f ca="1">IF($D23&lt;&gt;"",CHAR($D23)&amp;E23,OFFSET(Config!$AD$1,FaseGrupos!H23,2*MATCH(FaseGrupos!A23,Config!$AA$3:$AA$11,0)-1))</f>
        <v>A2</v>
      </c>
      <c r="C23" s="41" t="str">
        <f t="shared" ca="1" si="3"/>
        <v>A4</v>
      </c>
      <c r="D23" s="41">
        <f>IF(A23="G",IF(D22&lt;&gt;D21,D22,IF(D22=Config!$V$28,65,D22+1)),"")</f>
        <v>65</v>
      </c>
      <c r="E23" s="41">
        <f ca="1">OFFSET(ConfigParejas!$A$1,FaseGrupos!I23,2*INDEX(Config!$W$14:$W$27,MATCH(D23,Config!$V$14:$V$27,0))-1)</f>
        <v>2</v>
      </c>
      <c r="F23" s="41">
        <f ca="1">OFFSET(ConfigParejas!$A$1,FaseGrupos!I23,2*INDEX(Config!$W$14:$W$27,MATCH(D23,Config!$V$14:$V$27,0)))</f>
        <v>4</v>
      </c>
      <c r="H23" s="94">
        <f>IF(A23="G",ROUND((COUNTIF($D$6:D23,D23))/2,0),ROUND((COUNTIF($A$6:A23,A23)/INDEX(Config!$X$2:$AA$11,MATCH(A23,config_abreviaturas,0),1)),0))</f>
        <v>2</v>
      </c>
      <c r="I23" s="41">
        <f>COUNTIF($D$6:D23,D23)</f>
        <v>4</v>
      </c>
      <c r="J23" s="41">
        <f t="shared" si="4"/>
        <v>1</v>
      </c>
      <c r="K23" s="41">
        <f t="shared" si="0"/>
        <v>0</v>
      </c>
      <c r="L23" s="41">
        <f ca="1" xml:space="preserve"> IF(OR(P23=Equipos!$G$5,S23=Equipos!$G$5),1+COUNTIF($L$5:L22,"&gt;=1"),0)</f>
        <v>0</v>
      </c>
      <c r="M23" s="41">
        <f xml:space="preserve"> IF(Z23=Sedes!$G$3,1+COUNTIF($M$5:M22,"&gt;=1"),0)</f>
        <v>0</v>
      </c>
      <c r="N23" s="41" t="str">
        <f>IF(FaseGrupos!D23=Grupos!$A$5,FaseGrupos!I23,"")</f>
        <v/>
      </c>
      <c r="P23" s="101" t="str">
        <f ca="1">LOOKUP(B23,Config!$B$2:$B$33,Config!$E$2:$E$33)</f>
        <v>Arabia Saudita</v>
      </c>
      <c r="Q23" s="95">
        <v>0</v>
      </c>
      <c r="R23" s="95">
        <v>1</v>
      </c>
      <c r="S23" s="101" t="str">
        <f ca="1">LOOKUP(C23,Config!$B$2:$B$33,Config!$E$2:$E$33)</f>
        <v>Uruguay</v>
      </c>
      <c r="U23" s="101">
        <f t="shared" si="1"/>
        <v>1</v>
      </c>
      <c r="V23" s="101">
        <f t="shared" ca="1" si="5"/>
        <v>5.0761421319796957E-4</v>
      </c>
      <c r="W23" s="101">
        <f ca="1">V23+2*COUNTIF($V$6:V23,V23)+2*ROW()</f>
        <v>82.000507614213205</v>
      </c>
      <c r="X23" s="101">
        <f t="shared" ca="1" si="6"/>
        <v>31</v>
      </c>
      <c r="Z23" s="116" t="s">
        <v>150</v>
      </c>
      <c r="AA23" s="117">
        <f>ConfigHorarios!A19</f>
        <v>43271.708333333336</v>
      </c>
      <c r="AC23" s="42" t="s">
        <v>133</v>
      </c>
      <c r="AD23" s="118">
        <v>4</v>
      </c>
      <c r="AE23" s="120" t="str">
        <f ca="1">VLOOKUP($AD23,Config!A10:M13,FaseGrupos!AE$2,FALSE)</f>
        <v>Australia</v>
      </c>
      <c r="AF23" s="120">
        <f ca="1">VLOOKUP($AD23,Config!A10:M13,FaseGrupos!AF$2,FALSE)</f>
        <v>1</v>
      </c>
      <c r="AG23" s="120">
        <f ca="1">VLOOKUP($AD23,Config!A10:M13,FaseGrupos!AG$2,FALSE)</f>
        <v>3</v>
      </c>
      <c r="AH23" s="120">
        <f ca="1">VLOOKUP($AD23,Config!A10:M13,FaseGrupos!AH$2,FALSE)</f>
        <v>0</v>
      </c>
      <c r="AI23" s="120">
        <f ca="1">VLOOKUP($AD23,Config!A10:M13,FaseGrupos!AI$2,FALSE)</f>
        <v>1</v>
      </c>
      <c r="AJ23" s="120">
        <f ca="1">VLOOKUP($AD23,Config!A10:M13,FaseGrupos!AJ$2,FALSE)</f>
        <v>2</v>
      </c>
      <c r="AK23" s="120">
        <f ca="1">VLOOKUP($AD23,Config!A10:M13,FaseGrupos!AK$2,FALSE)</f>
        <v>2</v>
      </c>
      <c r="AL23" s="120">
        <f ca="1">VLOOKUP($AD23,Config!A10:M13,FaseGrupos!AL$2,FALSE)</f>
        <v>5</v>
      </c>
      <c r="AM23" s="120">
        <f ca="1">VLOOKUP($AD23,Config!A10:M13,FaseGrupos!AM$2,FALSE)</f>
        <v>-3</v>
      </c>
    </row>
    <row r="24" spans="1:39" x14ac:dyDescent="0.25">
      <c r="A24" s="42" t="str">
        <f t="shared" si="2"/>
        <v>G</v>
      </c>
      <c r="B24" s="41" t="str">
        <f ca="1">IF($D24&lt;&gt;"",CHAR($D24)&amp;E24,OFFSET(Config!$AD$1,FaseGrupos!H24,2*MATCH(FaseGrupos!A24,Config!$AA$3:$AA$11,0)-1))</f>
        <v>B3</v>
      </c>
      <c r="C24" s="41" t="str">
        <f t="shared" ca="1" si="3"/>
        <v>B1</v>
      </c>
      <c r="D24" s="41">
        <f>IF(A24="G",IF(D23&lt;&gt;D22,D23,IF(D23=Config!$V$28,65,D23+1)),"")</f>
        <v>66</v>
      </c>
      <c r="E24" s="41">
        <f ca="1">OFFSET(ConfigParejas!$A$1,FaseGrupos!I24,2*INDEX(Config!$W$14:$W$27,MATCH(D24,Config!$V$14:$V$27,0))-1)</f>
        <v>3</v>
      </c>
      <c r="F24" s="41">
        <f ca="1">OFFSET(ConfigParejas!$A$1,FaseGrupos!I24,2*INDEX(Config!$W$14:$W$27,MATCH(D24,Config!$V$14:$V$27,0)))</f>
        <v>1</v>
      </c>
      <c r="H24" s="94">
        <f>IF(A24="G",ROUND((COUNTIF($D$6:D24,D24))/2,0),ROUND((COUNTIF($A$6:A24,A24)/INDEX(Config!$X$2:$AA$11,MATCH(A24,config_abreviaturas,0),1)),0))</f>
        <v>2</v>
      </c>
      <c r="I24" s="41">
        <f>COUNTIF($D$6:D24,D24)</f>
        <v>3</v>
      </c>
      <c r="J24" s="41">
        <f t="shared" si="4"/>
        <v>1</v>
      </c>
      <c r="K24" s="41">
        <f t="shared" si="0"/>
        <v>1</v>
      </c>
      <c r="L24" s="41">
        <f ca="1" xml:space="preserve"> IF(OR(P24=Equipos!$G$5,S24=Equipos!$G$5),1+COUNTIF($L$5:L23,"&gt;=1"),0)</f>
        <v>0</v>
      </c>
      <c r="M24" s="41">
        <f xml:space="preserve"> IF(Z24=Sedes!$G$3,1+COUNTIF($M$5:M23,"&gt;=1"),0)</f>
        <v>0</v>
      </c>
      <c r="N24" s="41">
        <f>IF(FaseGrupos!D24=Grupos!$A$5,FaseGrupos!I24,"")</f>
        <v>3</v>
      </c>
      <c r="P24" s="101" t="str">
        <f ca="1">LOOKUP(B24,Config!$B$2:$B$33,Config!$E$2:$E$33)</f>
        <v>Portugal</v>
      </c>
      <c r="Q24" s="95">
        <v>1</v>
      </c>
      <c r="R24" s="95">
        <v>0</v>
      </c>
      <c r="S24" s="101" t="str">
        <f ca="1">LOOKUP(C24,Config!$B$2:$B$33,Config!$E$2:$E$33)</f>
        <v>Marruecos</v>
      </c>
      <c r="U24" s="101">
        <f t="shared" si="1"/>
        <v>0</v>
      </c>
      <c r="V24" s="101">
        <f t="shared" ca="1" si="5"/>
        <v>5.0761421319796957E-4</v>
      </c>
      <c r="W24" s="101">
        <f ca="1">V24+2*COUNTIF($V$6:V24,V24)+2*ROW()</f>
        <v>86.000507614213205</v>
      </c>
      <c r="X24" s="101">
        <f t="shared" ca="1" si="6"/>
        <v>30</v>
      </c>
      <c r="Z24" s="116" t="s">
        <v>165</v>
      </c>
      <c r="AA24" s="117">
        <f>ConfigHorarios!A20</f>
        <v>43271.583333333336</v>
      </c>
    </row>
    <row r="25" spans="1:39" x14ac:dyDescent="0.25">
      <c r="A25" s="42" t="str">
        <f t="shared" si="2"/>
        <v>G</v>
      </c>
      <c r="B25" s="41" t="str">
        <f ca="1">IF($D25&lt;&gt;"",CHAR($D25)&amp;E25,OFFSET(Config!$AD$1,FaseGrupos!H25,2*MATCH(FaseGrupos!A25,Config!$AA$3:$AA$11,0)-1))</f>
        <v>B2</v>
      </c>
      <c r="C25" s="41" t="str">
        <f t="shared" ca="1" si="3"/>
        <v>B4</v>
      </c>
      <c r="D25" s="41">
        <f>IF(A25="G",IF(D24&lt;&gt;D23,D24,IF(D24=Config!$V$28,65,D24+1)),"")</f>
        <v>66</v>
      </c>
      <c r="E25" s="41">
        <f ca="1">OFFSET(ConfigParejas!$A$1,FaseGrupos!I25,2*INDEX(Config!$W$14:$W$27,MATCH(D25,Config!$V$14:$V$27,0))-1)</f>
        <v>2</v>
      </c>
      <c r="F25" s="41">
        <f ca="1">OFFSET(ConfigParejas!$A$1,FaseGrupos!I25,2*INDEX(Config!$W$14:$W$27,MATCH(D25,Config!$V$14:$V$27,0)))</f>
        <v>4</v>
      </c>
      <c r="H25" s="94">
        <f>IF(A25="G",ROUND((COUNTIF($D$6:D25,D25))/2,0),ROUND((COUNTIF($A$6:A25,A25)/INDEX(Config!$X$2:$AA$11,MATCH(A25,config_abreviaturas,0),1)),0))</f>
        <v>2</v>
      </c>
      <c r="I25" s="41">
        <f>COUNTIF($D$6:D25,D25)</f>
        <v>4</v>
      </c>
      <c r="J25" s="41">
        <f t="shared" si="4"/>
        <v>1</v>
      </c>
      <c r="K25" s="41">
        <f t="shared" si="0"/>
        <v>0</v>
      </c>
      <c r="L25" s="41">
        <f ca="1" xml:space="preserve"> IF(OR(P25=Equipos!$G$5,S25=Equipos!$G$5),1+COUNTIF($L$5:L24,"&gt;=1"),0)</f>
        <v>0</v>
      </c>
      <c r="M25" s="41">
        <f xml:space="preserve"> IF(Z25=Sedes!$G$3,1+COUNTIF($M$5:M24,"&gt;=1"),0)</f>
        <v>0</v>
      </c>
      <c r="N25" s="41">
        <f>IF(FaseGrupos!D25=Grupos!$A$5,FaseGrupos!I25,"")</f>
        <v>4</v>
      </c>
      <c r="P25" s="101" t="str">
        <f ca="1">LOOKUP(B25,Config!$B$2:$B$33,Config!$E$2:$E$33)</f>
        <v>Irán</v>
      </c>
      <c r="Q25" s="95">
        <v>0</v>
      </c>
      <c r="R25" s="95">
        <v>1</v>
      </c>
      <c r="S25" s="101" t="str">
        <f ca="1">LOOKUP(C25,Config!$B$2:$B$33,Config!$E$2:$E$33)</f>
        <v>España</v>
      </c>
      <c r="U25" s="101">
        <f t="shared" si="1"/>
        <v>1</v>
      </c>
      <c r="V25" s="101">
        <f t="shared" ca="1" si="5"/>
        <v>5.0761421319796957E-4</v>
      </c>
      <c r="W25" s="101">
        <f ca="1">V25+2*COUNTIF($V$6:V25,V25)+2*ROW()</f>
        <v>90.000507614213205</v>
      </c>
      <c r="X25" s="101">
        <f t="shared" ca="1" si="6"/>
        <v>29</v>
      </c>
      <c r="Z25" s="116" t="s">
        <v>153</v>
      </c>
      <c r="AA25" s="117">
        <f>ConfigHorarios!A21</f>
        <v>43271.833333333336</v>
      </c>
      <c r="AD25" s="132" t="str">
        <f ca="1">Traduccion!$B$9 &amp; " " &amp; MID(FaseGrupos!AC25,2,1)</f>
        <v xml:space="preserve">Grupo </v>
      </c>
      <c r="AE25" s="132"/>
      <c r="AF25" s="118" t="str">
        <f t="shared" ref="AF25:AM25" ca="1" si="9">AF$7</f>
        <v>Pts</v>
      </c>
      <c r="AG25" s="118" t="str">
        <f t="shared" ca="1" si="9"/>
        <v>PJ</v>
      </c>
      <c r="AH25" s="118" t="str">
        <f t="shared" ca="1" si="9"/>
        <v>PG</v>
      </c>
      <c r="AI25" s="118" t="str">
        <f t="shared" ca="1" si="9"/>
        <v>PE</v>
      </c>
      <c r="AJ25" s="118" t="str">
        <f t="shared" ca="1" si="9"/>
        <v>PP</v>
      </c>
      <c r="AK25" s="118" t="str">
        <f t="shared" ca="1" si="9"/>
        <v>GF</v>
      </c>
      <c r="AL25" s="118" t="str">
        <f t="shared" ca="1" si="9"/>
        <v>GC</v>
      </c>
      <c r="AM25" s="118" t="str">
        <f t="shared" ca="1" si="9"/>
        <v>Dif</v>
      </c>
    </row>
    <row r="26" spans="1:39" x14ac:dyDescent="0.25">
      <c r="A26" s="42" t="str">
        <f t="shared" si="2"/>
        <v>G</v>
      </c>
      <c r="B26" s="41" t="str">
        <f ca="1">IF($D26&lt;&gt;"",CHAR($D26)&amp;E26,OFFSET(Config!$AD$1,FaseGrupos!H26,2*MATCH(FaseGrupos!A26,Config!$AA$3:$AA$11,0)-1))</f>
        <v>C3</v>
      </c>
      <c r="C26" s="41" t="str">
        <f t="shared" ca="1" si="3"/>
        <v>C1</v>
      </c>
      <c r="D26" s="41">
        <f>IF(A26="G",IF(D25&lt;&gt;D24,D25,IF(D25=Config!$V$28,65,D25+1)),"")</f>
        <v>67</v>
      </c>
      <c r="E26" s="41">
        <f ca="1">OFFSET(ConfigParejas!$A$1,FaseGrupos!I26,2*INDEX(Config!$W$14:$W$27,MATCH(D26,Config!$V$14:$V$27,0))-1)</f>
        <v>3</v>
      </c>
      <c r="F26" s="41">
        <f ca="1">OFFSET(ConfigParejas!$A$1,FaseGrupos!I26,2*INDEX(Config!$W$14:$W$27,MATCH(D26,Config!$V$14:$V$27,0)))</f>
        <v>1</v>
      </c>
      <c r="H26" s="94">
        <f>IF(A26="G",ROUND((COUNTIF($D$6:D26,D26))/2,0),ROUND((COUNTIF($A$6:A26,A26)/INDEX(Config!$X$2:$AA$11,MATCH(A26,config_abreviaturas,0),1)),0))</f>
        <v>2</v>
      </c>
      <c r="I26" s="41">
        <f>COUNTIF($D$6:D26,D26)</f>
        <v>3</v>
      </c>
      <c r="J26" s="41">
        <f t="shared" si="4"/>
        <v>1</v>
      </c>
      <c r="K26" s="41">
        <f t="shared" si="0"/>
        <v>0</v>
      </c>
      <c r="L26" s="41">
        <f ca="1" xml:space="preserve"> IF(OR(P26=Equipos!$G$5,S26=Equipos!$G$5),1+COUNTIF($L$5:L25,"&gt;=1"),0)</f>
        <v>2</v>
      </c>
      <c r="M26" s="41">
        <f xml:space="preserve"> IF(Z26=Sedes!$G$3,1+COUNTIF($M$5:M25,"&gt;=1"),0)</f>
        <v>0</v>
      </c>
      <c r="N26" s="41" t="str">
        <f>IF(FaseGrupos!D26=Grupos!$A$5,FaseGrupos!I26,"")</f>
        <v/>
      </c>
      <c r="P26" s="101" t="str">
        <f ca="1">LOOKUP(B26,Config!$B$2:$B$33,Config!$E$2:$E$33)</f>
        <v>Perú</v>
      </c>
      <c r="Q26" s="95">
        <v>0</v>
      </c>
      <c r="R26" s="95">
        <v>1</v>
      </c>
      <c r="S26" s="101" t="str">
        <f ca="1">LOOKUP(C26,Config!$B$2:$B$33,Config!$E$2:$E$33)</f>
        <v>Francia</v>
      </c>
      <c r="U26" s="101">
        <f t="shared" si="1"/>
        <v>1</v>
      </c>
      <c r="V26" s="101">
        <f t="shared" ca="1" si="5"/>
        <v>5.0761421319796957E-4</v>
      </c>
      <c r="W26" s="101">
        <f ca="1">V26+2*COUNTIF($V$6:V26,V26)+2*ROW()</f>
        <v>94.000507614213205</v>
      </c>
      <c r="X26" s="101">
        <f t="shared" ca="1" si="6"/>
        <v>28</v>
      </c>
      <c r="Z26" s="116" t="s">
        <v>148</v>
      </c>
      <c r="AA26" s="117">
        <f>ConfigHorarios!A22</f>
        <v>43272.708333333336</v>
      </c>
      <c r="AC26" s="42" t="s">
        <v>110</v>
      </c>
      <c r="AD26" s="118">
        <v>1</v>
      </c>
      <c r="AE26" s="119" t="str">
        <f ca="1">VLOOKUP($AD26,Config!A14:M17,FaseGrupos!AE$2,FALSE)</f>
        <v>Croacia</v>
      </c>
      <c r="AF26" s="119">
        <f ca="1">VLOOKUP($AD26,Config!A14:M17,FaseGrupos!AF$2,FALSE)</f>
        <v>9</v>
      </c>
      <c r="AG26" s="119">
        <f ca="1">VLOOKUP($AD26,Config!A14:M17,FaseGrupos!AG$2,FALSE)</f>
        <v>3</v>
      </c>
      <c r="AH26" s="119">
        <f ca="1">VLOOKUP($AD26,Config!A14:M17,FaseGrupos!AH$2,FALSE)</f>
        <v>3</v>
      </c>
      <c r="AI26" s="119">
        <f ca="1">VLOOKUP($AD26,Config!A14:M17,FaseGrupos!AI$2,FALSE)</f>
        <v>0</v>
      </c>
      <c r="AJ26" s="119">
        <f ca="1">VLOOKUP($AD26,Config!A14:M17,FaseGrupos!AJ$2,FALSE)</f>
        <v>0</v>
      </c>
      <c r="AK26" s="119">
        <f ca="1">VLOOKUP($AD26,Config!A14:M17,FaseGrupos!AK$2,FALSE)</f>
        <v>7</v>
      </c>
      <c r="AL26" s="119">
        <f ca="1">VLOOKUP($AD26,Config!A14:M17,FaseGrupos!AL$2,FALSE)</f>
        <v>1</v>
      </c>
      <c r="AM26" s="119">
        <f ca="1">VLOOKUP($AD26,Config!A14:M17,FaseGrupos!AM$2,FALSE)</f>
        <v>6</v>
      </c>
    </row>
    <row r="27" spans="1:39" x14ac:dyDescent="0.25">
      <c r="A27" s="42" t="str">
        <f t="shared" si="2"/>
        <v>G</v>
      </c>
      <c r="B27" s="41" t="str">
        <f ca="1">IF($D27&lt;&gt;"",CHAR($D27)&amp;E27,OFFSET(Config!$AD$1,FaseGrupos!H27,2*MATCH(FaseGrupos!A27,Config!$AA$3:$AA$11,0)-1))</f>
        <v>C2</v>
      </c>
      <c r="C27" s="41" t="str">
        <f t="shared" ca="1" si="3"/>
        <v>C4</v>
      </c>
      <c r="D27" s="41">
        <f>IF(A27="G",IF(D26&lt;&gt;D25,D26,IF(D26=Config!$V$28,65,D26+1)),"")</f>
        <v>67</v>
      </c>
      <c r="E27" s="41">
        <f ca="1">OFFSET(ConfigParejas!$A$1,FaseGrupos!I27,2*INDEX(Config!$W$14:$W$27,MATCH(D27,Config!$V$14:$V$27,0))-1)</f>
        <v>2</v>
      </c>
      <c r="F27" s="41">
        <f ca="1">OFFSET(ConfigParejas!$A$1,FaseGrupos!I27,2*INDEX(Config!$W$14:$W$27,MATCH(D27,Config!$V$14:$V$27,0)))</f>
        <v>4</v>
      </c>
      <c r="H27" s="94">
        <f>IF(A27="G",ROUND((COUNTIF($D$6:D27,D27))/2,0),ROUND((COUNTIF($A$6:A27,A27)/INDEX(Config!$X$2:$AA$11,MATCH(A27,config_abreviaturas,0),1)),0))</f>
        <v>2</v>
      </c>
      <c r="I27" s="41">
        <f>COUNTIF($D$6:D27,D27)</f>
        <v>4</v>
      </c>
      <c r="J27" s="41">
        <f t="shared" si="4"/>
        <v>1</v>
      </c>
      <c r="K27" s="41">
        <f t="shared" si="0"/>
        <v>0.5</v>
      </c>
      <c r="L27" s="41">
        <f ca="1" xml:space="preserve"> IF(OR(P27=Equipos!$G$5,S27=Equipos!$G$5),1+COUNTIF($L$5:L26,"&gt;=1"),0)</f>
        <v>0</v>
      </c>
      <c r="M27" s="41">
        <f xml:space="preserve"> IF(Z27=Sedes!$G$3,1+COUNTIF($M$5:M26,"&gt;=1"),0)</f>
        <v>0</v>
      </c>
      <c r="N27" s="41" t="str">
        <f>IF(FaseGrupos!D27=Grupos!$A$5,FaseGrupos!I27,"")</f>
        <v/>
      </c>
      <c r="P27" s="101" t="str">
        <f ca="1">LOOKUP(B27,Config!$B$2:$B$33,Config!$E$2:$E$33)</f>
        <v>Australia</v>
      </c>
      <c r="Q27" s="95">
        <v>1</v>
      </c>
      <c r="R27" s="95">
        <v>1</v>
      </c>
      <c r="S27" s="101" t="str">
        <f ca="1">LOOKUP(C27,Config!$B$2:$B$33,Config!$E$2:$E$33)</f>
        <v>Dinamarca</v>
      </c>
      <c r="U27" s="101">
        <f t="shared" si="1"/>
        <v>0.5</v>
      </c>
      <c r="V27" s="101">
        <f t="shared" ca="1" si="5"/>
        <v>5.0761421319796957E-4</v>
      </c>
      <c r="W27" s="101">
        <f ca="1">V27+2*COUNTIF($V$6:V27,V27)+2*ROW()</f>
        <v>98.000507614213205</v>
      </c>
      <c r="X27" s="101">
        <f t="shared" ca="1" si="6"/>
        <v>27</v>
      </c>
      <c r="Z27" s="116" t="s">
        <v>152</v>
      </c>
      <c r="AA27" s="117">
        <f>ConfigHorarios!A23</f>
        <v>43272.583333333336</v>
      </c>
      <c r="AC27" s="42" t="s">
        <v>111</v>
      </c>
      <c r="AD27" s="118">
        <v>2</v>
      </c>
      <c r="AE27" s="119" t="str">
        <f ca="1">VLOOKUP($AD27,Config!A14:M17,FaseGrupos!AE$2,FALSE)</f>
        <v>Argentina</v>
      </c>
      <c r="AF27" s="119">
        <f ca="1">VLOOKUP($AD27,Config!A14:M17,FaseGrupos!AF$2,FALSE)</f>
        <v>4</v>
      </c>
      <c r="AG27" s="119">
        <f ca="1">VLOOKUP($AD27,Config!A14:M17,FaseGrupos!AG$2,FALSE)</f>
        <v>3</v>
      </c>
      <c r="AH27" s="119">
        <f ca="1">VLOOKUP($AD27,Config!A14:M17,FaseGrupos!AH$2,FALSE)</f>
        <v>1</v>
      </c>
      <c r="AI27" s="119">
        <f ca="1">VLOOKUP($AD27,Config!A14:M17,FaseGrupos!AI$2,FALSE)</f>
        <v>1</v>
      </c>
      <c r="AJ27" s="119">
        <f ca="1">VLOOKUP($AD27,Config!A14:M17,FaseGrupos!AJ$2,FALSE)</f>
        <v>1</v>
      </c>
      <c r="AK27" s="119">
        <f ca="1">VLOOKUP($AD27,Config!A14:M17,FaseGrupos!AK$2,FALSE)</f>
        <v>3</v>
      </c>
      <c r="AL27" s="119">
        <f ca="1">VLOOKUP($AD27,Config!A14:M17,FaseGrupos!AL$2,FALSE)</f>
        <v>5</v>
      </c>
      <c r="AM27" s="119">
        <f ca="1">VLOOKUP($AD27,Config!A14:M17,FaseGrupos!AM$2,FALSE)</f>
        <v>-2</v>
      </c>
    </row>
    <row r="28" spans="1:39" x14ac:dyDescent="0.25">
      <c r="A28" s="42" t="str">
        <f t="shared" si="2"/>
        <v>G</v>
      </c>
      <c r="B28" s="41" t="str">
        <f ca="1">IF($D28&lt;&gt;"",CHAR($D28)&amp;E28,OFFSET(Config!$AD$1,FaseGrupos!H28,2*MATCH(FaseGrupos!A28,Config!$AA$3:$AA$11,0)-1))</f>
        <v>D3</v>
      </c>
      <c r="C28" s="41" t="str">
        <f t="shared" ca="1" si="3"/>
        <v>D1</v>
      </c>
      <c r="D28" s="41">
        <f>IF(A28="G",IF(D27&lt;&gt;D26,D27,IF(D27=Config!$V$28,65,D27+1)),"")</f>
        <v>68</v>
      </c>
      <c r="E28" s="41">
        <f ca="1">OFFSET(ConfigParejas!$A$1,FaseGrupos!I28,2*INDEX(Config!$W$14:$W$27,MATCH(D28,Config!$V$14:$V$27,0))-1)</f>
        <v>3</v>
      </c>
      <c r="F28" s="41">
        <f ca="1">OFFSET(ConfigParejas!$A$1,FaseGrupos!I28,2*INDEX(Config!$W$14:$W$27,MATCH(D28,Config!$V$14:$V$27,0)))</f>
        <v>1</v>
      </c>
      <c r="H28" s="94">
        <f>IF(A28="G",ROUND((COUNTIF($D$6:D28,D28))/2,0),ROUND((COUNTIF($A$6:A28,A28)/INDEX(Config!$X$2:$AA$11,MATCH(A28,config_abreviaturas,0),1)),0))</f>
        <v>2</v>
      </c>
      <c r="I28" s="41">
        <f>COUNTIF($D$6:D28,D28)</f>
        <v>3</v>
      </c>
      <c r="J28" s="41">
        <f t="shared" si="4"/>
        <v>1</v>
      </c>
      <c r="K28" s="41">
        <f t="shared" si="0"/>
        <v>1</v>
      </c>
      <c r="L28" s="41">
        <f ca="1" xml:space="preserve"> IF(OR(P28=Equipos!$G$5,S28=Equipos!$G$5),1+COUNTIF($L$5:L27,"&gt;=1"),0)</f>
        <v>0</v>
      </c>
      <c r="M28" s="41">
        <f xml:space="preserve"> IF(Z28=Sedes!$G$3,1+COUNTIF($M$5:M27,"&gt;=1"),0)</f>
        <v>0</v>
      </c>
      <c r="N28" s="41" t="str">
        <f>IF(FaseGrupos!D28=Grupos!$A$5,FaseGrupos!I28,"")</f>
        <v/>
      </c>
      <c r="P28" s="101" t="str">
        <f ca="1">LOOKUP(B28,Config!$B$2:$B$33,Config!$E$2:$E$33)</f>
        <v>Croacia</v>
      </c>
      <c r="Q28" s="95">
        <v>3</v>
      </c>
      <c r="R28" s="95">
        <v>0</v>
      </c>
      <c r="S28" s="101" t="str">
        <f ca="1">LOOKUP(C28,Config!$B$2:$B$33,Config!$E$2:$E$33)</f>
        <v>Argentina</v>
      </c>
      <c r="U28" s="101">
        <f t="shared" si="1"/>
        <v>0</v>
      </c>
      <c r="V28" s="101">
        <f t="shared" ca="1" si="5"/>
        <v>5.0761421319796957E-4</v>
      </c>
      <c r="W28" s="101">
        <f ca="1">V28+2*COUNTIF($V$6:V28,V28)+2*ROW()</f>
        <v>102.00050761421321</v>
      </c>
      <c r="X28" s="101">
        <f t="shared" ca="1" si="6"/>
        <v>26</v>
      </c>
      <c r="Z28" s="116" t="s">
        <v>146</v>
      </c>
      <c r="AA28" s="117">
        <f>ConfigHorarios!A24</f>
        <v>43272.833333333336</v>
      </c>
      <c r="AC28" s="42" t="s">
        <v>112</v>
      </c>
      <c r="AD28" s="118">
        <v>3</v>
      </c>
      <c r="AE28" s="120" t="str">
        <f ca="1">VLOOKUP($AD28,Config!A14:M17,FaseGrupos!AE$2,FALSE)</f>
        <v>Nigeria</v>
      </c>
      <c r="AF28" s="120">
        <f ca="1">VLOOKUP($AD28,Config!A14:M17,FaseGrupos!AF$2,FALSE)</f>
        <v>3</v>
      </c>
      <c r="AG28" s="120">
        <f ca="1">VLOOKUP($AD28,Config!A14:M17,FaseGrupos!AG$2,FALSE)</f>
        <v>3</v>
      </c>
      <c r="AH28" s="120">
        <f ca="1">VLOOKUP($AD28,Config!A14:M17,FaseGrupos!AH$2,FALSE)</f>
        <v>1</v>
      </c>
      <c r="AI28" s="120">
        <f ca="1">VLOOKUP($AD28,Config!A14:M17,FaseGrupos!AI$2,FALSE)</f>
        <v>0</v>
      </c>
      <c r="AJ28" s="120">
        <f ca="1">VLOOKUP($AD28,Config!A14:M17,FaseGrupos!AJ$2,FALSE)</f>
        <v>2</v>
      </c>
      <c r="AK28" s="120">
        <f ca="1">VLOOKUP($AD28,Config!A14:M17,FaseGrupos!AK$2,FALSE)</f>
        <v>3</v>
      </c>
      <c r="AL28" s="120">
        <f ca="1">VLOOKUP($AD28,Config!A14:M17,FaseGrupos!AL$2,FALSE)</f>
        <v>4</v>
      </c>
      <c r="AM28" s="120">
        <f ca="1">VLOOKUP($AD28,Config!A14:M17,FaseGrupos!AM$2,FALSE)</f>
        <v>-1</v>
      </c>
    </row>
    <row r="29" spans="1:39" x14ac:dyDescent="0.25">
      <c r="A29" s="42" t="str">
        <f t="shared" si="2"/>
        <v>G</v>
      </c>
      <c r="B29" s="41" t="str">
        <f ca="1">IF($D29&lt;&gt;"",CHAR($D29)&amp;E29,OFFSET(Config!$AD$1,FaseGrupos!H29,2*MATCH(FaseGrupos!A29,Config!$AA$3:$AA$11,0)-1))</f>
        <v>D2</v>
      </c>
      <c r="C29" s="41" t="str">
        <f t="shared" ca="1" si="3"/>
        <v>D4</v>
      </c>
      <c r="D29" s="41">
        <f>IF(A29="G",IF(D28&lt;&gt;D27,D28,IF(D28=Config!$V$28,65,D28+1)),"")</f>
        <v>68</v>
      </c>
      <c r="E29" s="41">
        <f ca="1">OFFSET(ConfigParejas!$A$1,FaseGrupos!I29,2*INDEX(Config!$W$14:$W$27,MATCH(D29,Config!$V$14:$V$27,0))-1)</f>
        <v>2</v>
      </c>
      <c r="F29" s="41">
        <f ca="1">OFFSET(ConfigParejas!$A$1,FaseGrupos!I29,2*INDEX(Config!$W$14:$W$27,MATCH(D29,Config!$V$14:$V$27,0)))</f>
        <v>4</v>
      </c>
      <c r="H29" s="94">
        <f>IF(A29="G",ROUND((COUNTIF($D$6:D29,D29))/2,0),ROUND((COUNTIF($A$6:A29,A29)/INDEX(Config!$X$2:$AA$11,MATCH(A29,config_abreviaturas,0),1)),0))</f>
        <v>2</v>
      </c>
      <c r="I29" s="41">
        <f>COUNTIF($D$6:D29,D29)</f>
        <v>4</v>
      </c>
      <c r="J29" s="41">
        <f t="shared" si="4"/>
        <v>1</v>
      </c>
      <c r="K29" s="41">
        <f t="shared" si="0"/>
        <v>0</v>
      </c>
      <c r="L29" s="41">
        <f ca="1" xml:space="preserve"> IF(OR(P29=Equipos!$G$5,S29=Equipos!$G$5),1+COUNTIF($L$5:L28,"&gt;=1"),0)</f>
        <v>0</v>
      </c>
      <c r="M29" s="41">
        <f xml:space="preserve"> IF(Z29=Sedes!$G$3,1+COUNTIF($M$5:M28,"&gt;=1"),0)</f>
        <v>0</v>
      </c>
      <c r="N29" s="41" t="str">
        <f>IF(FaseGrupos!D29=Grupos!$A$5,FaseGrupos!I29,"")</f>
        <v/>
      </c>
      <c r="P29" s="101" t="str">
        <f ca="1">LOOKUP(B29,Config!$B$2:$B$33,Config!$E$2:$E$33)</f>
        <v>Islandia</v>
      </c>
      <c r="Q29" s="95">
        <v>0</v>
      </c>
      <c r="R29" s="95">
        <v>2</v>
      </c>
      <c r="S29" s="101" t="str">
        <f ca="1">LOOKUP(C29,Config!$B$2:$B$33,Config!$E$2:$E$33)</f>
        <v>Nigeria</v>
      </c>
      <c r="U29" s="101">
        <f t="shared" si="1"/>
        <v>1</v>
      </c>
      <c r="V29" s="101">
        <f t="shared" ca="1" si="5"/>
        <v>5.0761421319796957E-4</v>
      </c>
      <c r="W29" s="101">
        <f ca="1">V29+2*COUNTIF($V$6:V29,V29)+2*ROW()</f>
        <v>106.00050761421321</v>
      </c>
      <c r="X29" s="101">
        <f t="shared" ca="1" si="6"/>
        <v>25</v>
      </c>
      <c r="Z29" s="116" t="s">
        <v>147</v>
      </c>
      <c r="AA29" s="117">
        <f>ConfigHorarios!A25</f>
        <v>43273.708333333336</v>
      </c>
      <c r="AC29" s="42" t="s">
        <v>134</v>
      </c>
      <c r="AD29" s="118">
        <v>4</v>
      </c>
      <c r="AE29" s="120" t="str">
        <f ca="1">VLOOKUP($AD29,Config!A14:M17,FaseGrupos!AE$2,FALSE)</f>
        <v>Islandia</v>
      </c>
      <c r="AF29" s="120">
        <f ca="1">VLOOKUP($AD29,Config!A14:M17,FaseGrupos!AF$2,FALSE)</f>
        <v>1</v>
      </c>
      <c r="AG29" s="120">
        <f ca="1">VLOOKUP($AD29,Config!A14:M17,FaseGrupos!AG$2,FALSE)</f>
        <v>3</v>
      </c>
      <c r="AH29" s="120">
        <f ca="1">VLOOKUP($AD29,Config!A14:M17,FaseGrupos!AH$2,FALSE)</f>
        <v>0</v>
      </c>
      <c r="AI29" s="120">
        <f ca="1">VLOOKUP($AD29,Config!A14:M17,FaseGrupos!AI$2,FALSE)</f>
        <v>1</v>
      </c>
      <c r="AJ29" s="120">
        <f ca="1">VLOOKUP($AD29,Config!A14:M17,FaseGrupos!AJ$2,FALSE)</f>
        <v>2</v>
      </c>
      <c r="AK29" s="120">
        <f ca="1">VLOOKUP($AD29,Config!A14:M17,FaseGrupos!AK$2,FALSE)</f>
        <v>2</v>
      </c>
      <c r="AL29" s="120">
        <f ca="1">VLOOKUP($AD29,Config!A14:M17,FaseGrupos!AL$2,FALSE)</f>
        <v>5</v>
      </c>
      <c r="AM29" s="120">
        <f ca="1">VLOOKUP($AD29,Config!A14:M17,FaseGrupos!AM$2,FALSE)</f>
        <v>-3</v>
      </c>
    </row>
    <row r="30" spans="1:39" x14ac:dyDescent="0.25">
      <c r="A30" s="42" t="str">
        <f t="shared" si="2"/>
        <v>G</v>
      </c>
      <c r="B30" s="41" t="str">
        <f ca="1">IF($D30&lt;&gt;"",CHAR($D30)&amp;E30,OFFSET(Config!$AD$1,FaseGrupos!H30,2*MATCH(FaseGrupos!A30,Config!$AA$3:$AA$11,0)-1))</f>
        <v>E3</v>
      </c>
      <c r="C30" s="41" t="str">
        <f t="shared" ca="1" si="3"/>
        <v>E1</v>
      </c>
      <c r="D30" s="41">
        <f>IF(A30="G",IF(D29&lt;&gt;D28,D29,IF(D29=Config!$V$28,65,D29+1)),"")</f>
        <v>69</v>
      </c>
      <c r="E30" s="41">
        <f ca="1">OFFSET(ConfigParejas!$A$1,FaseGrupos!I30,2*INDEX(Config!$W$14:$W$27,MATCH(D30,Config!$V$14:$V$27,0))-1)</f>
        <v>3</v>
      </c>
      <c r="F30" s="41">
        <f ca="1">OFFSET(ConfigParejas!$A$1,FaseGrupos!I30,2*INDEX(Config!$W$14:$W$27,MATCH(D30,Config!$V$14:$V$27,0)))</f>
        <v>1</v>
      </c>
      <c r="H30" s="94">
        <f>IF(A30="G",ROUND((COUNTIF($D$6:D30,D30))/2,0),ROUND((COUNTIF($A$6:A30,A30)/INDEX(Config!$X$2:$AA$11,MATCH(A30,config_abreviaturas,0),1)),0))</f>
        <v>2</v>
      </c>
      <c r="I30" s="41">
        <f>COUNTIF($D$6:D30,D30)</f>
        <v>3</v>
      </c>
      <c r="J30" s="41">
        <f t="shared" si="4"/>
        <v>1</v>
      </c>
      <c r="K30" s="41">
        <f t="shared" si="0"/>
        <v>1</v>
      </c>
      <c r="L30" s="41">
        <f ca="1" xml:space="preserve"> IF(OR(P30=Equipos!$G$5,S30=Equipos!$G$5),1+COUNTIF($L$5:L29,"&gt;=1"),0)</f>
        <v>0</v>
      </c>
      <c r="M30" s="41">
        <f xml:space="preserve"> IF(Z30=Sedes!$G$3,1+COUNTIF($M$5:M29,"&gt;=1"),0)</f>
        <v>0</v>
      </c>
      <c r="N30" s="41" t="str">
        <f>IF(FaseGrupos!D30=Grupos!$A$5,FaseGrupos!I30,"")</f>
        <v/>
      </c>
      <c r="P30" s="101" t="str">
        <f ca="1">LOOKUP(B30,Config!$B$2:$B$33,Config!$E$2:$E$33)</f>
        <v>Brasil</v>
      </c>
      <c r="Q30" s="95">
        <v>2</v>
      </c>
      <c r="R30" s="95">
        <v>0</v>
      </c>
      <c r="S30" s="101" t="str">
        <f ca="1">LOOKUP(C30,Config!$B$2:$B$33,Config!$E$2:$E$33)</f>
        <v>Costa Rica</v>
      </c>
      <c r="U30" s="101">
        <f t="shared" si="1"/>
        <v>0</v>
      </c>
      <c r="V30" s="101">
        <f t="shared" ca="1" si="5"/>
        <v>5.0761421319796957E-4</v>
      </c>
      <c r="W30" s="101">
        <f ca="1">V30+2*COUNTIF($V$6:V30,V30)+2*ROW()</f>
        <v>110.00050761421321</v>
      </c>
      <c r="X30" s="101">
        <f t="shared" ca="1" si="6"/>
        <v>24</v>
      </c>
      <c r="Z30" s="116" t="s">
        <v>145</v>
      </c>
      <c r="AA30" s="117">
        <f>ConfigHorarios!A26</f>
        <v>43273.583333333336</v>
      </c>
    </row>
    <row r="31" spans="1:39" x14ac:dyDescent="0.25">
      <c r="A31" s="42" t="str">
        <f t="shared" si="2"/>
        <v>G</v>
      </c>
      <c r="B31" s="41" t="str">
        <f ca="1">IF($D31&lt;&gt;"",CHAR($D31)&amp;E31,OFFSET(Config!$AD$1,FaseGrupos!H31,2*MATCH(FaseGrupos!A31,Config!$AA$3:$AA$11,0)-1))</f>
        <v>E2</v>
      </c>
      <c r="C31" s="41" t="str">
        <f t="shared" ca="1" si="3"/>
        <v>E4</v>
      </c>
      <c r="D31" s="41">
        <f>IF(A31="G",IF(D30&lt;&gt;D29,D30,IF(D30=Config!$V$28,65,D30+1)),"")</f>
        <v>69</v>
      </c>
      <c r="E31" s="41">
        <f ca="1">OFFSET(ConfigParejas!$A$1,FaseGrupos!I31,2*INDEX(Config!$W$14:$W$27,MATCH(D31,Config!$V$14:$V$27,0))-1)</f>
        <v>2</v>
      </c>
      <c r="F31" s="41">
        <f ca="1">OFFSET(ConfigParejas!$A$1,FaseGrupos!I31,2*INDEX(Config!$W$14:$W$27,MATCH(D31,Config!$V$14:$V$27,0)))</f>
        <v>4</v>
      </c>
      <c r="H31" s="94">
        <f>IF(A31="G",ROUND((COUNTIF($D$6:D31,D31))/2,0),ROUND((COUNTIF($A$6:A31,A31)/INDEX(Config!$X$2:$AA$11,MATCH(A31,config_abreviaturas,0),1)),0))</f>
        <v>2</v>
      </c>
      <c r="I31" s="41">
        <f>COUNTIF($D$6:D31,D31)</f>
        <v>4</v>
      </c>
      <c r="J31" s="41">
        <f t="shared" si="4"/>
        <v>1</v>
      </c>
      <c r="K31" s="41">
        <f t="shared" si="0"/>
        <v>0</v>
      </c>
      <c r="L31" s="41">
        <f ca="1" xml:space="preserve"> IF(OR(P31=Equipos!$G$5,S31=Equipos!$G$5),1+COUNTIF($L$5:L30,"&gt;=1"),0)</f>
        <v>0</v>
      </c>
      <c r="M31" s="41">
        <f xml:space="preserve"> IF(Z31=Sedes!$G$3,1+COUNTIF($M$5:M30,"&gt;=1"),0)</f>
        <v>3</v>
      </c>
      <c r="N31" s="41" t="str">
        <f>IF(FaseGrupos!D31=Grupos!$A$5,FaseGrupos!I31,"")</f>
        <v/>
      </c>
      <c r="P31" s="101" t="str">
        <f ca="1">LOOKUP(B31,Config!$B$2:$B$33,Config!$E$2:$E$33)</f>
        <v>Serbia</v>
      </c>
      <c r="Q31" s="95">
        <v>1</v>
      </c>
      <c r="R31" s="95">
        <v>2</v>
      </c>
      <c r="S31" s="101" t="str">
        <f ca="1">LOOKUP(C31,Config!$B$2:$B$33,Config!$E$2:$E$33)</f>
        <v>Suiza</v>
      </c>
      <c r="U31" s="101">
        <f t="shared" si="1"/>
        <v>1</v>
      </c>
      <c r="V31" s="101">
        <f t="shared" ca="1" si="5"/>
        <v>5.0761421319796957E-4</v>
      </c>
      <c r="W31" s="101">
        <f ca="1">V31+2*COUNTIF($V$6:V31,V31)+2*ROW()</f>
        <v>114.00050761421321</v>
      </c>
      <c r="X31" s="101">
        <f t="shared" ca="1" si="6"/>
        <v>23</v>
      </c>
      <c r="Z31" s="116" t="s">
        <v>144</v>
      </c>
      <c r="AA31" s="117">
        <f>ConfigHorarios!A27</f>
        <v>43273.791666666664</v>
      </c>
      <c r="AD31" s="132" t="str">
        <f ca="1">Traduccion!$B$9 &amp; " " &amp; MID(FaseGrupos!AC31,2,1)</f>
        <v xml:space="preserve">Grupo </v>
      </c>
      <c r="AE31" s="132"/>
      <c r="AF31" s="118" t="str">
        <f t="shared" ref="AF31:AM31" ca="1" si="10">AF$7</f>
        <v>Pts</v>
      </c>
      <c r="AG31" s="118" t="str">
        <f t="shared" ca="1" si="10"/>
        <v>PJ</v>
      </c>
      <c r="AH31" s="118" t="str">
        <f t="shared" ca="1" si="10"/>
        <v>PG</v>
      </c>
      <c r="AI31" s="118" t="str">
        <f t="shared" ca="1" si="10"/>
        <v>PE</v>
      </c>
      <c r="AJ31" s="118" t="str">
        <f t="shared" ca="1" si="10"/>
        <v>PP</v>
      </c>
      <c r="AK31" s="118" t="str">
        <f t="shared" ca="1" si="10"/>
        <v>GF</v>
      </c>
      <c r="AL31" s="118" t="str">
        <f t="shared" ca="1" si="10"/>
        <v>GC</v>
      </c>
      <c r="AM31" s="118" t="str">
        <f t="shared" ca="1" si="10"/>
        <v>Dif</v>
      </c>
    </row>
    <row r="32" spans="1:39" x14ac:dyDescent="0.25">
      <c r="A32" s="42" t="str">
        <f t="shared" si="2"/>
        <v>G</v>
      </c>
      <c r="B32" s="41" t="str">
        <f ca="1">IF($D32&lt;&gt;"",CHAR($D32)&amp;E32,OFFSET(Config!$AD$1,FaseGrupos!H32,2*MATCH(FaseGrupos!A32,Config!$AA$3:$AA$11,0)-1))</f>
        <v>F3</v>
      </c>
      <c r="C32" s="41" t="str">
        <f t="shared" ca="1" si="3"/>
        <v>F1</v>
      </c>
      <c r="D32" s="41">
        <f>IF(A32="G",IF(D31&lt;&gt;D30,D31,IF(D31=Config!$V$28,65,D31+1)),"")</f>
        <v>70</v>
      </c>
      <c r="E32" s="41">
        <f ca="1">OFFSET(ConfigParejas!$A$1,FaseGrupos!I32,2*INDEX(Config!$W$14:$W$27,MATCH(D32,Config!$V$14:$V$27,0))-1)</f>
        <v>3</v>
      </c>
      <c r="F32" s="41">
        <f ca="1">OFFSET(ConfigParejas!$A$1,FaseGrupos!I32,2*INDEX(Config!$W$14:$W$27,MATCH(D32,Config!$V$14:$V$27,0)))</f>
        <v>1</v>
      </c>
      <c r="H32" s="94">
        <f>IF(A32="G",ROUND((COUNTIF($D$6:D32,D32))/2,0),ROUND((COUNTIF($A$6:A32,A32)/INDEX(Config!$X$2:$AA$11,MATCH(A32,config_abreviaturas,0),1)),0))</f>
        <v>2</v>
      </c>
      <c r="I32" s="41">
        <f>COUNTIF($D$6:D32,D32)</f>
        <v>3</v>
      </c>
      <c r="J32" s="41">
        <f t="shared" si="4"/>
        <v>1</v>
      </c>
      <c r="K32" s="41">
        <f t="shared" si="0"/>
        <v>0</v>
      </c>
      <c r="L32" s="41">
        <f ca="1" xml:space="preserve"> IF(OR(P32=Equipos!$G$5,S32=Equipos!$G$5),1+COUNTIF($L$5:L31,"&gt;=1"),0)</f>
        <v>0</v>
      </c>
      <c r="M32" s="41">
        <f xml:space="preserve"> IF(Z32=Sedes!$G$3,1+COUNTIF($M$5:M31,"&gt;=1"),0)</f>
        <v>0</v>
      </c>
      <c r="N32" s="41" t="str">
        <f>IF(FaseGrupos!D32=Grupos!$A$5,FaseGrupos!I32,"")</f>
        <v/>
      </c>
      <c r="P32" s="101" t="str">
        <f ca="1">LOOKUP(B32,Config!$B$2:$B$33,Config!$E$2:$E$33)</f>
        <v>Suecia</v>
      </c>
      <c r="Q32" s="95">
        <v>1</v>
      </c>
      <c r="R32" s="95">
        <v>2</v>
      </c>
      <c r="S32" s="101" t="str">
        <f ca="1">LOOKUP(C32,Config!$B$2:$B$33,Config!$E$2:$E$33)</f>
        <v>Alemania</v>
      </c>
      <c r="U32" s="101">
        <f t="shared" si="1"/>
        <v>1</v>
      </c>
      <c r="V32" s="101">
        <f t="shared" ca="1" si="5"/>
        <v>5.0761421319796957E-4</v>
      </c>
      <c r="W32" s="101">
        <f ca="1">V32+2*COUNTIF($V$6:V32,V32)+2*ROW()</f>
        <v>118.00050761421321</v>
      </c>
      <c r="X32" s="101">
        <f t="shared" ca="1" si="6"/>
        <v>22</v>
      </c>
      <c r="Z32" s="116" t="s">
        <v>149</v>
      </c>
      <c r="AA32" s="117">
        <f>ConfigHorarios!A28</f>
        <v>43274.833333333336</v>
      </c>
      <c r="AC32" s="42" t="s">
        <v>113</v>
      </c>
      <c r="AD32" s="118">
        <v>1</v>
      </c>
      <c r="AE32" s="119" t="str">
        <f ca="1">VLOOKUP($AD32,Config!A18:M21,FaseGrupos!AE$2,FALSE)</f>
        <v>Brasil</v>
      </c>
      <c r="AF32" s="119">
        <f ca="1">VLOOKUP($AD32,Config!A18:M21,FaseGrupos!AF$2,FALSE)</f>
        <v>7</v>
      </c>
      <c r="AG32" s="119">
        <f ca="1">VLOOKUP($AD32,Config!A18:M21,FaseGrupos!AG$2,FALSE)</f>
        <v>3</v>
      </c>
      <c r="AH32" s="119">
        <f ca="1">VLOOKUP($AD32,Config!A18:M21,FaseGrupos!AH$2,FALSE)</f>
        <v>2</v>
      </c>
      <c r="AI32" s="119">
        <f ca="1">VLOOKUP($AD32,Config!A18:M21,FaseGrupos!AI$2,FALSE)</f>
        <v>1</v>
      </c>
      <c r="AJ32" s="119">
        <f ca="1">VLOOKUP($AD32,Config!A18:M21,FaseGrupos!AJ$2,FALSE)</f>
        <v>0</v>
      </c>
      <c r="AK32" s="119">
        <f ca="1">VLOOKUP($AD32,Config!A18:M21,FaseGrupos!AK$2,FALSE)</f>
        <v>5</v>
      </c>
      <c r="AL32" s="119">
        <f ca="1">VLOOKUP($AD32,Config!A18:M21,FaseGrupos!AL$2,FALSE)</f>
        <v>1</v>
      </c>
      <c r="AM32" s="119">
        <f ca="1">VLOOKUP($AD32,Config!A18:M21,FaseGrupos!AM$2,FALSE)</f>
        <v>4</v>
      </c>
    </row>
    <row r="33" spans="1:39" x14ac:dyDescent="0.25">
      <c r="A33" s="42" t="str">
        <f t="shared" si="2"/>
        <v>G</v>
      </c>
      <c r="B33" s="41" t="str">
        <f ca="1">IF($D33&lt;&gt;"",CHAR($D33)&amp;E33,OFFSET(Config!$AD$1,FaseGrupos!H33,2*MATCH(FaseGrupos!A33,Config!$AA$3:$AA$11,0)-1))</f>
        <v>F2</v>
      </c>
      <c r="C33" s="41" t="str">
        <f t="shared" ca="1" si="3"/>
        <v>F4</v>
      </c>
      <c r="D33" s="41">
        <f>IF(A33="G",IF(D32&lt;&gt;D31,D32,IF(D32=Config!$V$28,65,D32+1)),"")</f>
        <v>70</v>
      </c>
      <c r="E33" s="41">
        <f ca="1">OFFSET(ConfigParejas!$A$1,FaseGrupos!I33,2*INDEX(Config!$W$14:$W$27,MATCH(D33,Config!$V$14:$V$27,0))-1)</f>
        <v>2</v>
      </c>
      <c r="F33" s="41">
        <f ca="1">OFFSET(ConfigParejas!$A$1,FaseGrupos!I33,2*INDEX(Config!$W$14:$W$27,MATCH(D33,Config!$V$14:$V$27,0)))</f>
        <v>4</v>
      </c>
      <c r="H33" s="94">
        <f>IF(A33="G",ROUND((COUNTIF($D$6:D33,D33))/2,0),ROUND((COUNTIF($A$6:A33,A33)/INDEX(Config!$X$2:$AA$11,MATCH(A33,config_abreviaturas,0),1)),0))</f>
        <v>2</v>
      </c>
      <c r="I33" s="41">
        <f>COUNTIF($D$6:D33,D33)</f>
        <v>4</v>
      </c>
      <c r="J33" s="41">
        <f t="shared" si="4"/>
        <v>1</v>
      </c>
      <c r="K33" s="41">
        <f t="shared" si="0"/>
        <v>1</v>
      </c>
      <c r="L33" s="41">
        <f ca="1" xml:space="preserve"> IF(OR(P33=Equipos!$G$5,S33=Equipos!$G$5),1+COUNTIF($L$5:L32,"&gt;=1"),0)</f>
        <v>0</v>
      </c>
      <c r="M33" s="41">
        <f xml:space="preserve"> IF(Z33=Sedes!$G$3,1+COUNTIF($M$5:M32,"&gt;=1"),0)</f>
        <v>0</v>
      </c>
      <c r="N33" s="41" t="str">
        <f>IF(FaseGrupos!D33=Grupos!$A$5,FaseGrupos!I33,"")</f>
        <v/>
      </c>
      <c r="P33" s="101" t="str">
        <f ca="1">LOOKUP(B33,Config!$B$2:$B$33,Config!$E$2:$E$33)</f>
        <v>México</v>
      </c>
      <c r="Q33" s="95">
        <v>2</v>
      </c>
      <c r="R33" s="95">
        <v>1</v>
      </c>
      <c r="S33" s="101" t="str">
        <f ca="1">LOOKUP(C33,Config!$B$2:$B$33,Config!$E$2:$E$33)</f>
        <v>Corea del Sur</v>
      </c>
      <c r="U33" s="101">
        <f t="shared" si="1"/>
        <v>0</v>
      </c>
      <c r="V33" s="101">
        <f t="shared" ca="1" si="5"/>
        <v>5.0761421319796957E-4</v>
      </c>
      <c r="W33" s="101">
        <f ca="1">V33+2*COUNTIF($V$6:V33,V33)+2*ROW()</f>
        <v>122.00050761421321</v>
      </c>
      <c r="X33" s="101">
        <f t="shared" ca="1" si="6"/>
        <v>21</v>
      </c>
      <c r="Z33" s="116" t="s">
        <v>150</v>
      </c>
      <c r="AA33" s="117">
        <f>ConfigHorarios!A29</f>
        <v>43274.708333333336</v>
      </c>
      <c r="AC33" s="42" t="s">
        <v>114</v>
      </c>
      <c r="AD33" s="118">
        <v>2</v>
      </c>
      <c r="AE33" s="119" t="str">
        <f ca="1">VLOOKUP($AD33,Config!A18:M21,FaseGrupos!AE$2,FALSE)</f>
        <v>Suiza</v>
      </c>
      <c r="AF33" s="119">
        <f ca="1">VLOOKUP($AD33,Config!A18:M21,FaseGrupos!AF$2,FALSE)</f>
        <v>5</v>
      </c>
      <c r="AG33" s="119">
        <f ca="1">VLOOKUP($AD33,Config!A18:M21,FaseGrupos!AG$2,FALSE)</f>
        <v>3</v>
      </c>
      <c r="AH33" s="119">
        <f ca="1">VLOOKUP($AD33,Config!A18:M21,FaseGrupos!AH$2,FALSE)</f>
        <v>1</v>
      </c>
      <c r="AI33" s="119">
        <f ca="1">VLOOKUP($AD33,Config!A18:M21,FaseGrupos!AI$2,FALSE)</f>
        <v>2</v>
      </c>
      <c r="AJ33" s="119">
        <f ca="1">VLOOKUP($AD33,Config!A18:M21,FaseGrupos!AJ$2,FALSE)</f>
        <v>0</v>
      </c>
      <c r="AK33" s="119">
        <f ca="1">VLOOKUP($AD33,Config!A18:M21,FaseGrupos!AK$2,FALSE)</f>
        <v>5</v>
      </c>
      <c r="AL33" s="119">
        <f ca="1">VLOOKUP($AD33,Config!A18:M21,FaseGrupos!AL$2,FALSE)</f>
        <v>4</v>
      </c>
      <c r="AM33" s="119">
        <f ca="1">VLOOKUP($AD33,Config!A18:M21,FaseGrupos!AM$2,FALSE)</f>
        <v>1</v>
      </c>
    </row>
    <row r="34" spans="1:39" x14ac:dyDescent="0.25">
      <c r="A34" s="42" t="str">
        <f t="shared" si="2"/>
        <v>G</v>
      </c>
      <c r="B34" s="41" t="str">
        <f ca="1">IF($D34&lt;&gt;"",CHAR($D34)&amp;E34,OFFSET(Config!$AD$1,FaseGrupos!H34,2*MATCH(FaseGrupos!A34,Config!$AA$3:$AA$11,0)-1))</f>
        <v>G3</v>
      </c>
      <c r="C34" s="41" t="str">
        <f t="shared" ca="1" si="3"/>
        <v>G1</v>
      </c>
      <c r="D34" s="41">
        <f>IF(A34="G",IF(D33&lt;&gt;D32,D33,IF(D33=Config!$V$28,65,D33+1)),"")</f>
        <v>71</v>
      </c>
      <c r="E34" s="41">
        <f ca="1">OFFSET(ConfigParejas!$A$1,FaseGrupos!I34,2*INDEX(Config!$W$14:$W$27,MATCH(D34,Config!$V$14:$V$27,0))-1)</f>
        <v>3</v>
      </c>
      <c r="F34" s="41">
        <f ca="1">OFFSET(ConfigParejas!$A$1,FaseGrupos!I34,2*INDEX(Config!$W$14:$W$27,MATCH(D34,Config!$V$14:$V$27,0)))</f>
        <v>1</v>
      </c>
      <c r="H34" s="94">
        <f>IF(A34="G",ROUND((COUNTIF($D$6:D34,D34))/2,0),ROUND((COUNTIF($A$6:A34,A34)/INDEX(Config!$X$2:$AA$11,MATCH(A34,config_abreviaturas,0),1)),0))</f>
        <v>2</v>
      </c>
      <c r="I34" s="41">
        <f>COUNTIF($D$6:D34,D34)</f>
        <v>3</v>
      </c>
      <c r="J34" s="41">
        <f t="shared" si="4"/>
        <v>1</v>
      </c>
      <c r="K34" s="41">
        <f t="shared" si="0"/>
        <v>0</v>
      </c>
      <c r="L34" s="41">
        <f ca="1" xml:space="preserve"> IF(OR(P34=Equipos!$G$5,S34=Equipos!$G$5),1+COUNTIF($L$5:L33,"&gt;=1"),0)</f>
        <v>0</v>
      </c>
      <c r="M34" s="41">
        <f xml:space="preserve"> IF(Z34=Sedes!$G$3,1+COUNTIF($M$5:M33,"&gt;=1"),0)</f>
        <v>0</v>
      </c>
      <c r="N34" s="41" t="str">
        <f>IF(FaseGrupos!D34=Grupos!$A$5,FaseGrupos!I34,"")</f>
        <v/>
      </c>
      <c r="P34" s="101" t="str">
        <f ca="1">LOOKUP(B34,Config!$B$2:$B$33,Config!$E$2:$E$33)</f>
        <v>Túnez</v>
      </c>
      <c r="Q34" s="95">
        <v>2</v>
      </c>
      <c r="R34" s="95">
        <v>5</v>
      </c>
      <c r="S34" s="101" t="str">
        <f ca="1">LOOKUP(C34,Config!$B$2:$B$33,Config!$E$2:$E$33)</f>
        <v>Bélgica</v>
      </c>
      <c r="U34" s="101">
        <f t="shared" si="1"/>
        <v>1</v>
      </c>
      <c r="V34" s="101">
        <f t="shared" ca="1" si="5"/>
        <v>5.0761421319796957E-4</v>
      </c>
      <c r="W34" s="101">
        <f ca="1">V34+2*COUNTIF($V$6:V34,V34)+2*ROW()</f>
        <v>126.00050761421321</v>
      </c>
      <c r="X34" s="101">
        <f t="shared" ca="1" si="6"/>
        <v>20</v>
      </c>
      <c r="Z34" s="116" t="s">
        <v>143</v>
      </c>
      <c r="AA34" s="117">
        <f>ConfigHorarios!A30</f>
        <v>43274.583333333336</v>
      </c>
      <c r="AC34" s="42" t="s">
        <v>115</v>
      </c>
      <c r="AD34" s="118">
        <v>3</v>
      </c>
      <c r="AE34" s="120" t="str">
        <f ca="1">VLOOKUP($AD34,Config!A18:M21,FaseGrupos!AE$2,FALSE)</f>
        <v>Serbia</v>
      </c>
      <c r="AF34" s="120">
        <f ca="1">VLOOKUP($AD34,Config!A18:M21,FaseGrupos!AF$2,FALSE)</f>
        <v>3</v>
      </c>
      <c r="AG34" s="120">
        <f ca="1">VLOOKUP($AD34,Config!A18:M21,FaseGrupos!AG$2,FALSE)</f>
        <v>3</v>
      </c>
      <c r="AH34" s="120">
        <f ca="1">VLOOKUP($AD34,Config!A18:M21,FaseGrupos!AH$2,FALSE)</f>
        <v>1</v>
      </c>
      <c r="AI34" s="120">
        <f ca="1">VLOOKUP($AD34,Config!A18:M21,FaseGrupos!AI$2,FALSE)</f>
        <v>0</v>
      </c>
      <c r="AJ34" s="120">
        <f ca="1">VLOOKUP($AD34,Config!A18:M21,FaseGrupos!AJ$2,FALSE)</f>
        <v>2</v>
      </c>
      <c r="AK34" s="120">
        <f ca="1">VLOOKUP($AD34,Config!A18:M21,FaseGrupos!AK$2,FALSE)</f>
        <v>2</v>
      </c>
      <c r="AL34" s="120">
        <f ca="1">VLOOKUP($AD34,Config!A18:M21,FaseGrupos!AL$2,FALSE)</f>
        <v>4</v>
      </c>
      <c r="AM34" s="120">
        <f ca="1">VLOOKUP($AD34,Config!A18:M21,FaseGrupos!AM$2,FALSE)</f>
        <v>-2</v>
      </c>
    </row>
    <row r="35" spans="1:39" x14ac:dyDescent="0.25">
      <c r="A35" s="42" t="str">
        <f t="shared" si="2"/>
        <v>G</v>
      </c>
      <c r="B35" s="41" t="str">
        <f ca="1">IF($D35&lt;&gt;"",CHAR($D35)&amp;E35,OFFSET(Config!$AD$1,FaseGrupos!H35,2*MATCH(FaseGrupos!A35,Config!$AA$3:$AA$11,0)-1))</f>
        <v>G2</v>
      </c>
      <c r="C35" s="41" t="str">
        <f t="shared" ca="1" si="3"/>
        <v>G4</v>
      </c>
      <c r="D35" s="41">
        <f>IF(A35="G",IF(D34&lt;&gt;D33,D34,IF(D34=Config!$V$28,65,D34+1)),"")</f>
        <v>71</v>
      </c>
      <c r="E35" s="41">
        <f ca="1">OFFSET(ConfigParejas!$A$1,FaseGrupos!I35,2*INDEX(Config!$W$14:$W$27,MATCH(D35,Config!$V$14:$V$27,0))-1)</f>
        <v>2</v>
      </c>
      <c r="F35" s="41">
        <f ca="1">OFFSET(ConfigParejas!$A$1,FaseGrupos!I35,2*INDEX(Config!$W$14:$W$27,MATCH(D35,Config!$V$14:$V$27,0)))</f>
        <v>4</v>
      </c>
      <c r="H35" s="94">
        <f>IF(A35="G",ROUND((COUNTIF($D$6:D35,D35))/2,0),ROUND((COUNTIF($A$6:A35,A35)/INDEX(Config!$X$2:$AA$11,MATCH(A35,config_abreviaturas,0),1)),0))</f>
        <v>2</v>
      </c>
      <c r="I35" s="41">
        <f>COUNTIF($D$6:D35,D35)</f>
        <v>4</v>
      </c>
      <c r="J35" s="41">
        <f t="shared" si="4"/>
        <v>1</v>
      </c>
      <c r="K35" s="41">
        <f t="shared" si="0"/>
        <v>0</v>
      </c>
      <c r="L35" s="41">
        <f ca="1" xml:space="preserve"> IF(OR(P35=Equipos!$G$5,S35=Equipos!$G$5),1+COUNTIF($L$5:L34,"&gt;=1"),0)</f>
        <v>0</v>
      </c>
      <c r="M35" s="41">
        <f xml:space="preserve"> IF(Z35=Sedes!$G$3,1+COUNTIF($M$5:M34,"&gt;=1"),0)</f>
        <v>0</v>
      </c>
      <c r="N35" s="41" t="str">
        <f>IF(FaseGrupos!D35=Grupos!$A$5,FaseGrupos!I35,"")</f>
        <v/>
      </c>
      <c r="P35" s="101" t="str">
        <f ca="1">LOOKUP(B35,Config!$B$2:$B$33,Config!$E$2:$E$33)</f>
        <v>Panamá</v>
      </c>
      <c r="Q35" s="95">
        <v>1</v>
      </c>
      <c r="R35" s="95">
        <v>6</v>
      </c>
      <c r="S35" s="101" t="str">
        <f ca="1">LOOKUP(C35,Config!$B$2:$B$33,Config!$E$2:$E$33)</f>
        <v>Inglaterra</v>
      </c>
      <c r="U35" s="101">
        <f t="shared" si="1"/>
        <v>1</v>
      </c>
      <c r="V35" s="101">
        <f t="shared" ca="1" si="5"/>
        <v>5.0761421319796957E-4</v>
      </c>
      <c r="W35" s="101">
        <f ca="1">V35+2*COUNTIF($V$6:V35,V35)+2*ROW()</f>
        <v>130.00050761421321</v>
      </c>
      <c r="X35" s="101">
        <f t="shared" ca="1" si="6"/>
        <v>19</v>
      </c>
      <c r="Z35" s="116" t="s">
        <v>146</v>
      </c>
      <c r="AA35" s="117">
        <f>ConfigHorarios!A31</f>
        <v>43275.583333333336</v>
      </c>
      <c r="AC35" s="42" t="s">
        <v>135</v>
      </c>
      <c r="AD35" s="118">
        <v>4</v>
      </c>
      <c r="AE35" s="120" t="str">
        <f ca="1">VLOOKUP($AD35,Config!A18:M21,FaseGrupos!AE$2,FALSE)</f>
        <v>Costa Rica</v>
      </c>
      <c r="AF35" s="120">
        <f ca="1">VLOOKUP($AD35,Config!A18:M21,FaseGrupos!AF$2,FALSE)</f>
        <v>1</v>
      </c>
      <c r="AG35" s="120">
        <f ca="1">VLOOKUP($AD35,Config!A18:M21,FaseGrupos!AG$2,FALSE)</f>
        <v>3</v>
      </c>
      <c r="AH35" s="120">
        <f ca="1">VLOOKUP($AD35,Config!A18:M21,FaseGrupos!AH$2,FALSE)</f>
        <v>0</v>
      </c>
      <c r="AI35" s="120">
        <f ca="1">VLOOKUP($AD35,Config!A18:M21,FaseGrupos!AI$2,FALSE)</f>
        <v>1</v>
      </c>
      <c r="AJ35" s="120">
        <f ca="1">VLOOKUP($AD35,Config!A18:M21,FaseGrupos!AJ$2,FALSE)</f>
        <v>2</v>
      </c>
      <c r="AK35" s="120">
        <f ca="1">VLOOKUP($AD35,Config!A18:M21,FaseGrupos!AK$2,FALSE)</f>
        <v>2</v>
      </c>
      <c r="AL35" s="120">
        <f ca="1">VLOOKUP($AD35,Config!A18:M21,FaseGrupos!AL$2,FALSE)</f>
        <v>5</v>
      </c>
      <c r="AM35" s="120">
        <f ca="1">VLOOKUP($AD35,Config!A18:M21,FaseGrupos!AM$2,FALSE)</f>
        <v>-3</v>
      </c>
    </row>
    <row r="36" spans="1:39" x14ac:dyDescent="0.25">
      <c r="A36" s="42" t="str">
        <f t="shared" si="2"/>
        <v>G</v>
      </c>
      <c r="B36" s="41" t="str">
        <f ca="1">IF($D36&lt;&gt;"",CHAR($D36)&amp;E36,OFFSET(Config!$AD$1,FaseGrupos!H36,2*MATCH(FaseGrupos!A36,Config!$AA$3:$AA$11,0)-1))</f>
        <v>H3</v>
      </c>
      <c r="C36" s="41" t="str">
        <f t="shared" ca="1" si="3"/>
        <v>H1</v>
      </c>
      <c r="D36" s="41">
        <f>IF(A36="G",IF(D35&lt;&gt;D34,D35,IF(D35=Config!$V$28,65,D35+1)),"")</f>
        <v>72</v>
      </c>
      <c r="E36" s="41">
        <f ca="1">OFFSET(ConfigParejas!$A$1,FaseGrupos!I36,2*INDEX(Config!$W$14:$W$27,MATCH(D36,Config!$V$14:$V$27,0))-1)</f>
        <v>3</v>
      </c>
      <c r="F36" s="41">
        <f ca="1">OFFSET(ConfigParejas!$A$1,FaseGrupos!I36,2*INDEX(Config!$W$14:$W$27,MATCH(D36,Config!$V$14:$V$27,0)))</f>
        <v>1</v>
      </c>
      <c r="H36" s="94">
        <f>IF(A36="G",ROUND((COUNTIF($D$6:D36,D36))/2,0),ROUND((COUNTIF($A$6:A36,A36)/INDEX(Config!$X$2:$AA$11,MATCH(A36,config_abreviaturas,0),1)),0))</f>
        <v>2</v>
      </c>
      <c r="I36" s="41">
        <f>COUNTIF($D$6:D36,D36)</f>
        <v>3</v>
      </c>
      <c r="J36" s="41">
        <f t="shared" si="4"/>
        <v>1</v>
      </c>
      <c r="K36" s="41">
        <f t="shared" si="0"/>
        <v>0</v>
      </c>
      <c r="L36" s="41">
        <f ca="1" xml:space="preserve"> IF(OR(P36=Equipos!$G$5,S36=Equipos!$G$5),1+COUNTIF($L$5:L35,"&gt;=1"),0)</f>
        <v>0</v>
      </c>
      <c r="M36" s="41">
        <f xml:space="preserve"> IF(Z36=Sedes!$G$3,1+COUNTIF($M$5:M35,"&gt;=1"),0)</f>
        <v>0</v>
      </c>
      <c r="N36" s="41" t="str">
        <f>IF(FaseGrupos!D36=Grupos!$A$5,FaseGrupos!I36,"")</f>
        <v/>
      </c>
      <c r="P36" s="101" t="str">
        <f ca="1">LOOKUP(B36,Config!$B$2:$B$33,Config!$E$2:$E$33)</f>
        <v>Polonia</v>
      </c>
      <c r="Q36" s="95">
        <v>0</v>
      </c>
      <c r="R36" s="95">
        <v>3</v>
      </c>
      <c r="S36" s="101" t="str">
        <f ca="1">LOOKUP(C36,Config!$B$2:$B$33,Config!$E$2:$E$33)</f>
        <v>Colombia</v>
      </c>
      <c r="U36" s="101">
        <f t="shared" si="1"/>
        <v>1</v>
      </c>
      <c r="V36" s="101">
        <f t="shared" ca="1" si="5"/>
        <v>5.0761421319796957E-4</v>
      </c>
      <c r="W36" s="101">
        <f ca="1">V36+2*COUNTIF($V$6:V36,V36)+2*ROW()</f>
        <v>134.00050761421321</v>
      </c>
      <c r="X36" s="101">
        <f t="shared" ca="1" si="6"/>
        <v>18</v>
      </c>
      <c r="Z36" s="116" t="s">
        <v>148</v>
      </c>
      <c r="AA36" s="117">
        <f>ConfigHorarios!A32</f>
        <v>43275.833333333336</v>
      </c>
    </row>
    <row r="37" spans="1:39" x14ac:dyDescent="0.25">
      <c r="A37" s="42" t="str">
        <f t="shared" si="2"/>
        <v>G</v>
      </c>
      <c r="B37" s="41" t="str">
        <f ca="1">IF($D37&lt;&gt;"",CHAR($D37)&amp;E37,OFFSET(Config!$AD$1,FaseGrupos!H37,2*MATCH(FaseGrupos!A37,Config!$AA$3:$AA$11,0)-1))</f>
        <v>H2</v>
      </c>
      <c r="C37" s="41" t="str">
        <f t="shared" ca="1" si="3"/>
        <v>H4</v>
      </c>
      <c r="D37" s="41">
        <f>IF(A37="G",IF(D36&lt;&gt;D35,D36,IF(D36=Config!$V$28,65,D36+1)),"")</f>
        <v>72</v>
      </c>
      <c r="E37" s="41">
        <f ca="1">OFFSET(ConfigParejas!$A$1,FaseGrupos!I37,2*INDEX(Config!$W$14:$W$27,MATCH(D37,Config!$V$14:$V$27,0))-1)</f>
        <v>2</v>
      </c>
      <c r="F37" s="41">
        <f ca="1">OFFSET(ConfigParejas!$A$1,FaseGrupos!I37,2*INDEX(Config!$W$14:$W$27,MATCH(D37,Config!$V$14:$V$27,0)))</f>
        <v>4</v>
      </c>
      <c r="H37" s="94">
        <f>IF(A37="G",ROUND((COUNTIF($D$6:D37,D37))/2,0),ROUND((COUNTIF($A$6:A37,A37)/INDEX(Config!$X$2:$AA$11,MATCH(A37,config_abreviaturas,0),1)),0))</f>
        <v>2</v>
      </c>
      <c r="I37" s="41">
        <f>COUNTIF($D$6:D37,D37)</f>
        <v>4</v>
      </c>
      <c r="J37" s="41">
        <f t="shared" si="4"/>
        <v>1</v>
      </c>
      <c r="K37" s="41">
        <f t="shared" si="0"/>
        <v>0.5</v>
      </c>
      <c r="L37" s="41">
        <f ca="1" xml:space="preserve"> IF(OR(P37=Equipos!$G$5,S37=Equipos!$G$5),1+COUNTIF($L$5:L36,"&gt;=1"),0)</f>
        <v>0</v>
      </c>
      <c r="M37" s="41">
        <f xml:space="preserve"> IF(Z37=Sedes!$G$3,1+COUNTIF($M$5:M36,"&gt;=1"),0)</f>
        <v>0</v>
      </c>
      <c r="N37" s="41" t="str">
        <f>IF(FaseGrupos!D37=Grupos!$A$5,FaseGrupos!I37,"")</f>
        <v/>
      </c>
      <c r="P37" s="101" t="str">
        <f ca="1">LOOKUP(B37,Config!$B$2:$B$33,Config!$E$2:$E$33)</f>
        <v>Japón</v>
      </c>
      <c r="Q37" s="95">
        <v>2</v>
      </c>
      <c r="R37" s="95">
        <v>2</v>
      </c>
      <c r="S37" s="101" t="str">
        <f ca="1">LOOKUP(C37,Config!$B$2:$B$33,Config!$E$2:$E$33)</f>
        <v>Senegal</v>
      </c>
      <c r="U37" s="101">
        <f t="shared" si="1"/>
        <v>0.5</v>
      </c>
      <c r="V37" s="101">
        <f t="shared" ca="1" si="5"/>
        <v>5.0761421319796957E-4</v>
      </c>
      <c r="W37" s="101">
        <f ca="1">V37+2*COUNTIF($V$6:V37,V37)+2*ROW()</f>
        <v>138.00050761421318</v>
      </c>
      <c r="X37" s="101">
        <f t="shared" ca="1" si="6"/>
        <v>17</v>
      </c>
      <c r="Z37" s="116" t="s">
        <v>153</v>
      </c>
      <c r="AA37" s="117">
        <f>ConfigHorarios!A33</f>
        <v>43275.708333333336</v>
      </c>
      <c r="AD37" s="132" t="str">
        <f ca="1">Traduccion!$B$9 &amp; " " &amp; MID(FaseGrupos!AC37,2,1)</f>
        <v xml:space="preserve">Grupo </v>
      </c>
      <c r="AE37" s="132"/>
      <c r="AF37" s="118" t="str">
        <f t="shared" ref="AF37:AM37" ca="1" si="11">AF$7</f>
        <v>Pts</v>
      </c>
      <c r="AG37" s="118" t="str">
        <f t="shared" ca="1" si="11"/>
        <v>PJ</v>
      </c>
      <c r="AH37" s="118" t="str">
        <f t="shared" ca="1" si="11"/>
        <v>PG</v>
      </c>
      <c r="AI37" s="118" t="str">
        <f t="shared" ca="1" si="11"/>
        <v>PE</v>
      </c>
      <c r="AJ37" s="118" t="str">
        <f t="shared" ca="1" si="11"/>
        <v>PP</v>
      </c>
      <c r="AK37" s="118" t="str">
        <f t="shared" ca="1" si="11"/>
        <v>GF</v>
      </c>
      <c r="AL37" s="118" t="str">
        <f t="shared" ca="1" si="11"/>
        <v>GC</v>
      </c>
      <c r="AM37" s="118" t="str">
        <f t="shared" ca="1" si="11"/>
        <v>Dif</v>
      </c>
    </row>
    <row r="38" spans="1:39" x14ac:dyDescent="0.25">
      <c r="A38" s="42" t="str">
        <f t="shared" si="2"/>
        <v>G</v>
      </c>
      <c r="B38" s="41" t="str">
        <f ca="1">IF($D38&lt;&gt;"",CHAR($D38)&amp;E38,OFFSET(Config!$AD$1,FaseGrupos!H38,2*MATCH(FaseGrupos!A38,Config!$AA$3:$AA$11,0)-1))</f>
        <v>A2</v>
      </c>
      <c r="C38" s="41" t="str">
        <f t="shared" ca="1" si="3"/>
        <v>A3</v>
      </c>
      <c r="D38" s="41">
        <f>IF(A38="G",IF(D37&lt;&gt;D36,D37,IF(D37=Config!$V$28,65,D37+1)),"")</f>
        <v>65</v>
      </c>
      <c r="E38" s="41">
        <f ca="1">OFFSET(ConfigParejas!$A$1,FaseGrupos!I38,2*INDEX(Config!$W$14:$W$27,MATCH(D38,Config!$V$14:$V$27,0))-1)</f>
        <v>2</v>
      </c>
      <c r="F38" s="41">
        <f ca="1">OFFSET(ConfigParejas!$A$1,FaseGrupos!I38,2*INDEX(Config!$W$14:$W$27,MATCH(D38,Config!$V$14:$V$27,0)))</f>
        <v>3</v>
      </c>
      <c r="H38" s="94">
        <f>IF(A38="G",ROUND((COUNTIF($D$6:D38,D38))/2,0),ROUND((COUNTIF($A$6:A38,A38)/INDEX(Config!$X$2:$AA$11,MATCH(A38,config_abreviaturas,0),1)),0))</f>
        <v>3</v>
      </c>
      <c r="I38" s="41">
        <f>COUNTIF($D$6:D38,D38)</f>
        <v>5</v>
      </c>
      <c r="J38" s="41">
        <f t="shared" si="4"/>
        <v>1</v>
      </c>
      <c r="K38" s="41">
        <f t="shared" ref="K38:K58" si="12">IF(J38=0,"",(IF(Q38+O38&gt;R38+T38,1,IF(Q38+O38=R38+T38,0.5,0))))</f>
        <v>1</v>
      </c>
      <c r="L38" s="41">
        <f ca="1" xml:space="preserve"> IF(OR(P38=Equipos!$G$5,S38=Equipos!$G$5),1+COUNTIF($L$5:L37,"&gt;=1"),0)</f>
        <v>0</v>
      </c>
      <c r="M38" s="41">
        <f xml:space="preserve"> IF(Z38=Sedes!$G$3,1+COUNTIF($M$5:M37,"&gt;=1"),0)</f>
        <v>0</v>
      </c>
      <c r="N38" s="41" t="str">
        <f>IF(FaseGrupos!D38=Grupos!$A$5,FaseGrupos!I38,"")</f>
        <v/>
      </c>
      <c r="P38" s="101" t="str">
        <f ca="1">LOOKUP(B38,Config!$B$2:$B$33,Config!$E$2:$E$33)</f>
        <v>Arabia Saudita</v>
      </c>
      <c r="Q38" s="95">
        <v>2</v>
      </c>
      <c r="R38" s="95">
        <v>1</v>
      </c>
      <c r="S38" s="101" t="str">
        <f ca="1">LOOKUP(C38,Config!$B$2:$B$33,Config!$E$2:$E$33)</f>
        <v>Egipto</v>
      </c>
      <c r="U38" s="101">
        <f t="shared" ref="U38:U58" si="13">IF(J38=0,"",(IF(Q38+O38&lt;R38+T38,1,IF(Q38+O38=R38+T38,0.5,0))))</f>
        <v>0</v>
      </c>
      <c r="V38" s="101">
        <f t="shared" ca="1" si="5"/>
        <v>5.0761421319796957E-4</v>
      </c>
      <c r="W38" s="101">
        <f ca="1">V38+2*COUNTIF($V$6:V38,V38)+2*ROW()</f>
        <v>142.00050761421318</v>
      </c>
      <c r="X38" s="101">
        <f t="shared" ca="1" si="6"/>
        <v>16</v>
      </c>
      <c r="Z38" s="116" t="s">
        <v>147</v>
      </c>
      <c r="AA38" s="117">
        <f>ConfigHorarios!A34</f>
        <v>43276.666666666664</v>
      </c>
      <c r="AC38" s="42" t="s">
        <v>116</v>
      </c>
      <c r="AD38" s="118">
        <v>1</v>
      </c>
      <c r="AE38" s="119" t="str">
        <f ca="1">VLOOKUP($AD38,Config!A22:M25,FaseGrupos!AE$2,FALSE)</f>
        <v>Suecia</v>
      </c>
      <c r="AF38" s="119">
        <f ca="1">VLOOKUP($AD38,Config!A22:M25,FaseGrupos!AF$2,FALSE)</f>
        <v>6</v>
      </c>
      <c r="AG38" s="119">
        <f ca="1">VLOOKUP($AD38,Config!A22:M25,FaseGrupos!AG$2,FALSE)</f>
        <v>3</v>
      </c>
      <c r="AH38" s="119">
        <f ca="1">VLOOKUP($AD38,Config!A22:M25,FaseGrupos!AH$2,FALSE)</f>
        <v>2</v>
      </c>
      <c r="AI38" s="119">
        <f ca="1">VLOOKUP($AD38,Config!A22:M25,FaseGrupos!AI$2,FALSE)</f>
        <v>0</v>
      </c>
      <c r="AJ38" s="119">
        <f ca="1">VLOOKUP($AD38,Config!A22:M25,FaseGrupos!AJ$2,FALSE)</f>
        <v>1</v>
      </c>
      <c r="AK38" s="119">
        <f ca="1">VLOOKUP($AD38,Config!A22:M25,FaseGrupos!AK$2,FALSE)</f>
        <v>5</v>
      </c>
      <c r="AL38" s="119">
        <f ca="1">VLOOKUP($AD38,Config!A22:M25,FaseGrupos!AL$2,FALSE)</f>
        <v>2</v>
      </c>
      <c r="AM38" s="119">
        <f ca="1">VLOOKUP($AD38,Config!A22:M25,FaseGrupos!AM$2,FALSE)</f>
        <v>3</v>
      </c>
    </row>
    <row r="39" spans="1:39" x14ac:dyDescent="0.25">
      <c r="A39" s="42" t="str">
        <f t="shared" si="2"/>
        <v>G</v>
      </c>
      <c r="B39" s="41" t="str">
        <f ca="1">IF($D39&lt;&gt;"",CHAR($D39)&amp;E39,OFFSET(Config!$AD$1,FaseGrupos!H39,2*MATCH(FaseGrupos!A39,Config!$AA$3:$AA$11,0)-1))</f>
        <v>A4</v>
      </c>
      <c r="C39" s="41" t="str">
        <f t="shared" ca="1" si="3"/>
        <v>A1</v>
      </c>
      <c r="D39" s="41">
        <f>IF(A39="G",IF(D38&lt;&gt;D37,D38,IF(D38=Config!$V$28,65,D38+1)),"")</f>
        <v>65</v>
      </c>
      <c r="E39" s="41">
        <f ca="1">OFFSET(ConfigParejas!$A$1,FaseGrupos!I39,2*INDEX(Config!$W$14:$W$27,MATCH(D39,Config!$V$14:$V$27,0))-1)</f>
        <v>4</v>
      </c>
      <c r="F39" s="41">
        <f ca="1">OFFSET(ConfigParejas!$A$1,FaseGrupos!I39,2*INDEX(Config!$W$14:$W$27,MATCH(D39,Config!$V$14:$V$27,0)))</f>
        <v>1</v>
      </c>
      <c r="H39" s="94">
        <f>IF(A39="G",ROUND((COUNTIF($D$6:D39,D39))/2,0),ROUND((COUNTIF($A$6:A39,A39)/INDEX(Config!$X$2:$AA$11,MATCH(A39,config_abreviaturas,0),1)),0))</f>
        <v>3</v>
      </c>
      <c r="I39" s="41">
        <f>COUNTIF($D$6:D39,D39)</f>
        <v>6</v>
      </c>
      <c r="J39" s="41">
        <f t="shared" si="4"/>
        <v>1</v>
      </c>
      <c r="K39" s="41">
        <f t="shared" si="12"/>
        <v>1</v>
      </c>
      <c r="L39" s="41">
        <f ca="1" xml:space="preserve"> IF(OR(P39=Equipos!$G$5,S39=Equipos!$G$5),1+COUNTIF($L$5:L38,"&gt;=1"),0)</f>
        <v>0</v>
      </c>
      <c r="M39" s="41">
        <f xml:space="preserve"> IF(Z39=Sedes!$G$3,1+COUNTIF($M$5:M38,"&gt;=1"),0)</f>
        <v>0</v>
      </c>
      <c r="N39" s="41" t="str">
        <f>IF(FaseGrupos!D39=Grupos!$A$5,FaseGrupos!I39,"")</f>
        <v/>
      </c>
      <c r="P39" s="101" t="str">
        <f ca="1">LOOKUP(B39,Config!$B$2:$B$33,Config!$E$2:$E$33)</f>
        <v>Uruguay</v>
      </c>
      <c r="Q39" s="95">
        <v>3</v>
      </c>
      <c r="R39" s="95">
        <v>0</v>
      </c>
      <c r="S39" s="101" t="str">
        <f ca="1">LOOKUP(C39,Config!$B$2:$B$33,Config!$E$2:$E$33)</f>
        <v>Rusia</v>
      </c>
      <c r="U39" s="101">
        <f t="shared" si="13"/>
        <v>0</v>
      </c>
      <c r="V39" s="101">
        <f t="shared" ca="1" si="5"/>
        <v>5.0761421319796957E-4</v>
      </c>
      <c r="W39" s="101">
        <f ca="1">V39+2*COUNTIF($V$6:V39,V39)+2*ROW()</f>
        <v>146.00050761421318</v>
      </c>
      <c r="X39" s="101">
        <f t="shared" ca="1" si="6"/>
        <v>15</v>
      </c>
      <c r="Z39" s="116" t="s">
        <v>152</v>
      </c>
      <c r="AA39" s="117">
        <f>ConfigHorarios!A35</f>
        <v>43276.666666666664</v>
      </c>
      <c r="AC39" s="42" t="s">
        <v>117</v>
      </c>
      <c r="AD39" s="118">
        <v>2</v>
      </c>
      <c r="AE39" s="119" t="str">
        <f ca="1">VLOOKUP($AD39,Config!A22:M25,FaseGrupos!AE$2,FALSE)</f>
        <v>México</v>
      </c>
      <c r="AF39" s="119">
        <f ca="1">VLOOKUP($AD39,Config!A22:M25,FaseGrupos!AF$2,FALSE)</f>
        <v>6</v>
      </c>
      <c r="AG39" s="119">
        <f ca="1">VLOOKUP($AD39,Config!A22:M25,FaseGrupos!AG$2,FALSE)</f>
        <v>3</v>
      </c>
      <c r="AH39" s="119">
        <f ca="1">VLOOKUP($AD39,Config!A22:M25,FaseGrupos!AH$2,FALSE)</f>
        <v>2</v>
      </c>
      <c r="AI39" s="119">
        <f ca="1">VLOOKUP($AD39,Config!A22:M25,FaseGrupos!AI$2,FALSE)</f>
        <v>0</v>
      </c>
      <c r="AJ39" s="119">
        <f ca="1">VLOOKUP($AD39,Config!A22:M25,FaseGrupos!AJ$2,FALSE)</f>
        <v>1</v>
      </c>
      <c r="AK39" s="119">
        <f ca="1">VLOOKUP($AD39,Config!A22:M25,FaseGrupos!AK$2,FALSE)</f>
        <v>3</v>
      </c>
      <c r="AL39" s="119">
        <f ca="1">VLOOKUP($AD39,Config!A22:M25,FaseGrupos!AL$2,FALSE)</f>
        <v>4</v>
      </c>
      <c r="AM39" s="119">
        <f ca="1">VLOOKUP($AD39,Config!A22:M25,FaseGrupos!AM$2,FALSE)</f>
        <v>-1</v>
      </c>
    </row>
    <row r="40" spans="1:39" x14ac:dyDescent="0.25">
      <c r="A40" s="42" t="str">
        <f t="shared" si="2"/>
        <v>G</v>
      </c>
      <c r="B40" s="41" t="str">
        <f ca="1">IF($D40&lt;&gt;"",CHAR($D40)&amp;E40,OFFSET(Config!$AD$1,FaseGrupos!H40,2*MATCH(FaseGrupos!A40,Config!$AA$3:$AA$11,0)-1))</f>
        <v>B2</v>
      </c>
      <c r="C40" s="41" t="str">
        <f t="shared" ca="1" si="3"/>
        <v>B3</v>
      </c>
      <c r="D40" s="41">
        <f>IF(A40="G",IF(D39&lt;&gt;D38,D39,IF(D39=Config!$V$28,65,D39+1)),"")</f>
        <v>66</v>
      </c>
      <c r="E40" s="41">
        <f ca="1">OFFSET(ConfigParejas!$A$1,FaseGrupos!I40,2*INDEX(Config!$W$14:$W$27,MATCH(D40,Config!$V$14:$V$27,0))-1)</f>
        <v>2</v>
      </c>
      <c r="F40" s="41">
        <f ca="1">OFFSET(ConfigParejas!$A$1,FaseGrupos!I40,2*INDEX(Config!$W$14:$W$27,MATCH(D40,Config!$V$14:$V$27,0)))</f>
        <v>3</v>
      </c>
      <c r="H40" s="94">
        <f>IF(A40="G",ROUND((COUNTIF($D$6:D40,D40))/2,0),ROUND((COUNTIF($A$6:A40,A40)/INDEX(Config!$X$2:$AA$11,MATCH(A40,config_abreviaturas,0),1)),0))</f>
        <v>3</v>
      </c>
      <c r="I40" s="41">
        <f>COUNTIF($D$6:D40,D40)</f>
        <v>5</v>
      </c>
      <c r="J40" s="41">
        <f t="shared" si="4"/>
        <v>1</v>
      </c>
      <c r="K40" s="41">
        <f t="shared" si="12"/>
        <v>0.5</v>
      </c>
      <c r="L40" s="41">
        <f ca="1" xml:space="preserve"> IF(OR(P40=Equipos!$G$5,S40=Equipos!$G$5),1+COUNTIF($L$5:L39,"&gt;=1"),0)</f>
        <v>0</v>
      </c>
      <c r="M40" s="41">
        <f xml:space="preserve"> IF(Z40=Sedes!$G$3,1+COUNTIF($M$5:M39,"&gt;=1"),0)</f>
        <v>0</v>
      </c>
      <c r="N40" s="41">
        <f>IF(FaseGrupos!D40=Grupos!$A$5,FaseGrupos!I40,"")</f>
        <v>5</v>
      </c>
      <c r="P40" s="101" t="str">
        <f ca="1">LOOKUP(B40,Config!$B$2:$B$33,Config!$E$2:$E$33)</f>
        <v>Irán</v>
      </c>
      <c r="Q40" s="95">
        <v>1</v>
      </c>
      <c r="R40" s="95">
        <v>1</v>
      </c>
      <c r="S40" s="101" t="str">
        <f ca="1">LOOKUP(C40,Config!$B$2:$B$33,Config!$E$2:$E$33)</f>
        <v>Portugal</v>
      </c>
      <c r="U40" s="101">
        <f t="shared" si="13"/>
        <v>0.5</v>
      </c>
      <c r="V40" s="101">
        <f t="shared" ca="1" si="5"/>
        <v>5.0761421319796957E-4</v>
      </c>
      <c r="W40" s="101">
        <f ca="1">V40+2*COUNTIF($V$6:V40,V40)+2*ROW()</f>
        <v>150.00050761421318</v>
      </c>
      <c r="X40" s="101">
        <f t="shared" ca="1" si="6"/>
        <v>14</v>
      </c>
      <c r="Z40" s="116" t="s">
        <v>151</v>
      </c>
      <c r="AA40" s="117">
        <f>ConfigHorarios!A36</f>
        <v>43276.833333333336</v>
      </c>
      <c r="AC40" s="42" t="s">
        <v>118</v>
      </c>
      <c r="AD40" s="118">
        <v>3</v>
      </c>
      <c r="AE40" s="120" t="str">
        <f ca="1">VLOOKUP($AD40,Config!A22:M25,FaseGrupos!AE$2,FALSE)</f>
        <v>Corea del Sur</v>
      </c>
      <c r="AF40" s="120">
        <f ca="1">VLOOKUP($AD40,Config!A22:M25,FaseGrupos!AF$2,FALSE)</f>
        <v>3</v>
      </c>
      <c r="AG40" s="120">
        <f ca="1">VLOOKUP($AD40,Config!A22:M25,FaseGrupos!AG$2,FALSE)</f>
        <v>3</v>
      </c>
      <c r="AH40" s="120">
        <f ca="1">VLOOKUP($AD40,Config!A22:M25,FaseGrupos!AH$2,FALSE)</f>
        <v>1</v>
      </c>
      <c r="AI40" s="120">
        <f ca="1">VLOOKUP($AD40,Config!A22:M25,FaseGrupos!AI$2,FALSE)</f>
        <v>0</v>
      </c>
      <c r="AJ40" s="120">
        <f ca="1">VLOOKUP($AD40,Config!A22:M25,FaseGrupos!AJ$2,FALSE)</f>
        <v>2</v>
      </c>
      <c r="AK40" s="120">
        <f ca="1">VLOOKUP($AD40,Config!A22:M25,FaseGrupos!AK$2,FALSE)</f>
        <v>3</v>
      </c>
      <c r="AL40" s="120">
        <f ca="1">VLOOKUP($AD40,Config!A22:M25,FaseGrupos!AL$2,FALSE)</f>
        <v>3</v>
      </c>
      <c r="AM40" s="120">
        <f ca="1">VLOOKUP($AD40,Config!A22:M25,FaseGrupos!AM$2,FALSE)</f>
        <v>0</v>
      </c>
    </row>
    <row r="41" spans="1:39" x14ac:dyDescent="0.25">
      <c r="A41" s="42" t="str">
        <f t="shared" si="2"/>
        <v>G</v>
      </c>
      <c r="B41" s="41" t="str">
        <f ca="1">IF($D41&lt;&gt;"",CHAR($D41)&amp;E41,OFFSET(Config!$AD$1,FaseGrupos!H41,2*MATCH(FaseGrupos!A41,Config!$AA$3:$AA$11,0)-1))</f>
        <v>B4</v>
      </c>
      <c r="C41" s="41" t="str">
        <f t="shared" ca="1" si="3"/>
        <v>B1</v>
      </c>
      <c r="D41" s="41">
        <f>IF(A41="G",IF(D40&lt;&gt;D39,D40,IF(D40=Config!$V$28,65,D40+1)),"")</f>
        <v>66</v>
      </c>
      <c r="E41" s="41">
        <f ca="1">OFFSET(ConfigParejas!$A$1,FaseGrupos!I41,2*INDEX(Config!$W$14:$W$27,MATCH(D41,Config!$V$14:$V$27,0))-1)</f>
        <v>4</v>
      </c>
      <c r="F41" s="41">
        <f ca="1">OFFSET(ConfigParejas!$A$1,FaseGrupos!I41,2*INDEX(Config!$W$14:$W$27,MATCH(D41,Config!$V$14:$V$27,0)))</f>
        <v>1</v>
      </c>
      <c r="H41" s="94">
        <f>IF(A41="G",ROUND((COUNTIF($D$6:D41,D41))/2,0),ROUND((COUNTIF($A$6:A41,A41)/INDEX(Config!$X$2:$AA$11,MATCH(A41,config_abreviaturas,0),1)),0))</f>
        <v>3</v>
      </c>
      <c r="I41" s="41">
        <f>COUNTIF($D$6:D41,D41)</f>
        <v>6</v>
      </c>
      <c r="J41" s="41">
        <f t="shared" si="4"/>
        <v>1</v>
      </c>
      <c r="K41" s="41">
        <f t="shared" si="12"/>
        <v>0.5</v>
      </c>
      <c r="L41" s="41">
        <f ca="1" xml:space="preserve"> IF(OR(P41=Equipos!$G$5,S41=Equipos!$G$5),1+COUNTIF($L$5:L40,"&gt;=1"),0)</f>
        <v>0</v>
      </c>
      <c r="M41" s="41">
        <f xml:space="preserve"> IF(Z41=Sedes!$G$3,1+COUNTIF($M$5:M40,"&gt;=1"),0)</f>
        <v>0</v>
      </c>
      <c r="N41" s="41">
        <f>IF(FaseGrupos!D41=Grupos!$A$5,FaseGrupos!I41,"")</f>
        <v>6</v>
      </c>
      <c r="P41" s="101" t="str">
        <f ca="1">LOOKUP(B41,Config!$B$2:$B$33,Config!$E$2:$E$33)</f>
        <v>España</v>
      </c>
      <c r="Q41" s="95">
        <v>2</v>
      </c>
      <c r="R41" s="95">
        <v>2</v>
      </c>
      <c r="S41" s="101" t="str">
        <f ca="1">LOOKUP(C41,Config!$B$2:$B$33,Config!$E$2:$E$33)</f>
        <v>Marruecos</v>
      </c>
      <c r="U41" s="101">
        <f t="shared" si="13"/>
        <v>0.5</v>
      </c>
      <c r="V41" s="101">
        <f t="shared" ca="1" si="5"/>
        <v>5.0761421319796957E-4</v>
      </c>
      <c r="W41" s="101">
        <f ca="1">V41+2*COUNTIF($V$6:V41,V41)+2*ROW()</f>
        <v>154.00050761421318</v>
      </c>
      <c r="X41" s="101">
        <f t="shared" ca="1" si="6"/>
        <v>13</v>
      </c>
      <c r="Z41" s="116" t="s">
        <v>145</v>
      </c>
      <c r="AA41" s="117">
        <f>ConfigHorarios!A37</f>
        <v>43276.833333333336</v>
      </c>
      <c r="AC41" s="42" t="s">
        <v>136</v>
      </c>
      <c r="AD41" s="118">
        <v>4</v>
      </c>
      <c r="AE41" s="120" t="str">
        <f ca="1">VLOOKUP($AD41,Config!A22:M25,FaseGrupos!AE$2,FALSE)</f>
        <v>Alemania</v>
      </c>
      <c r="AF41" s="120">
        <f ca="1">VLOOKUP($AD41,Config!A22:M25,FaseGrupos!AF$2,FALSE)</f>
        <v>3</v>
      </c>
      <c r="AG41" s="120">
        <f ca="1">VLOOKUP($AD41,Config!A22:M25,FaseGrupos!AG$2,FALSE)</f>
        <v>3</v>
      </c>
      <c r="AH41" s="120">
        <f ca="1">VLOOKUP($AD41,Config!A22:M25,FaseGrupos!AH$2,FALSE)</f>
        <v>1</v>
      </c>
      <c r="AI41" s="120">
        <f ca="1">VLOOKUP($AD41,Config!A22:M25,FaseGrupos!AI$2,FALSE)</f>
        <v>0</v>
      </c>
      <c r="AJ41" s="120">
        <f ca="1">VLOOKUP($AD41,Config!A22:M25,FaseGrupos!AJ$2,FALSE)</f>
        <v>2</v>
      </c>
      <c r="AK41" s="120">
        <f ca="1">VLOOKUP($AD41,Config!A22:M25,FaseGrupos!AK$2,FALSE)</f>
        <v>2</v>
      </c>
      <c r="AL41" s="120">
        <f ca="1">VLOOKUP($AD41,Config!A22:M25,FaseGrupos!AL$2,FALSE)</f>
        <v>4</v>
      </c>
      <c r="AM41" s="120">
        <f ca="1">VLOOKUP($AD41,Config!A22:M25,FaseGrupos!AM$2,FALSE)</f>
        <v>-2</v>
      </c>
    </row>
    <row r="42" spans="1:39" x14ac:dyDescent="0.25">
      <c r="A42" s="42" t="str">
        <f t="shared" si="2"/>
        <v>G</v>
      </c>
      <c r="B42" s="41" t="str">
        <f ca="1">IF($D42&lt;&gt;"",CHAR($D42)&amp;E42,OFFSET(Config!$AD$1,FaseGrupos!H42,2*MATCH(FaseGrupos!A42,Config!$AA$3:$AA$11,0)-1))</f>
        <v>C2</v>
      </c>
      <c r="C42" s="41" t="str">
        <f t="shared" ca="1" si="3"/>
        <v>C3</v>
      </c>
      <c r="D42" s="41">
        <f>IF(A42="G",IF(D41&lt;&gt;D40,D41,IF(D41=Config!$V$28,65,D41+1)),"")</f>
        <v>67</v>
      </c>
      <c r="E42" s="41">
        <f ca="1">OFFSET(ConfigParejas!$A$1,FaseGrupos!I42,2*INDEX(Config!$W$14:$W$27,MATCH(D42,Config!$V$14:$V$27,0))-1)</f>
        <v>2</v>
      </c>
      <c r="F42" s="41">
        <f ca="1">OFFSET(ConfigParejas!$A$1,FaseGrupos!I42,2*INDEX(Config!$W$14:$W$27,MATCH(D42,Config!$V$14:$V$27,0)))</f>
        <v>3</v>
      </c>
      <c r="H42" s="94">
        <f>IF(A42="G",ROUND((COUNTIF($D$6:D42,D42))/2,0),ROUND((COUNTIF($A$6:A42,A42)/INDEX(Config!$X$2:$AA$11,MATCH(A42,config_abreviaturas,0),1)),0))</f>
        <v>3</v>
      </c>
      <c r="I42" s="41">
        <f>COUNTIF($D$6:D42,D42)</f>
        <v>5</v>
      </c>
      <c r="J42" s="41">
        <f t="shared" si="4"/>
        <v>1</v>
      </c>
      <c r="K42" s="41">
        <f t="shared" si="12"/>
        <v>0</v>
      </c>
      <c r="L42" s="41">
        <f ca="1" xml:space="preserve"> IF(OR(P42=Equipos!$G$5,S42=Equipos!$G$5),1+COUNTIF($L$5:L41,"&gt;=1"),0)</f>
        <v>0</v>
      </c>
      <c r="M42" s="41">
        <f xml:space="preserve"> IF(Z42=Sedes!$G$3,1+COUNTIF($M$5:M41,"&gt;=1"),0)</f>
        <v>0</v>
      </c>
      <c r="N42" s="41" t="str">
        <f>IF(FaseGrupos!D42=Grupos!$A$5,FaseGrupos!I42,"")</f>
        <v/>
      </c>
      <c r="P42" s="101" t="str">
        <f ca="1">LOOKUP(B42,Config!$B$2:$B$33,Config!$E$2:$E$33)</f>
        <v>Australia</v>
      </c>
      <c r="Q42" s="95">
        <v>0</v>
      </c>
      <c r="R42" s="95">
        <v>2</v>
      </c>
      <c r="S42" s="101" t="str">
        <f ca="1">LOOKUP(C42,Config!$B$2:$B$33,Config!$E$2:$E$33)</f>
        <v>Perú</v>
      </c>
      <c r="U42" s="101">
        <f t="shared" si="13"/>
        <v>1</v>
      </c>
      <c r="V42" s="101">
        <f t="shared" ca="1" si="5"/>
        <v>5.0761421319796957E-4</v>
      </c>
      <c r="W42" s="101">
        <f ca="1">V42+2*COUNTIF($V$6:V42,V42)+2*ROW()</f>
        <v>158.00050761421318</v>
      </c>
      <c r="X42" s="101">
        <f t="shared" ca="1" si="6"/>
        <v>12</v>
      </c>
      <c r="Z42" s="116" t="s">
        <v>149</v>
      </c>
      <c r="AA42" s="117">
        <f>ConfigHorarios!A38</f>
        <v>43277.666666666664</v>
      </c>
    </row>
    <row r="43" spans="1:39" x14ac:dyDescent="0.25">
      <c r="A43" s="42" t="str">
        <f t="shared" si="2"/>
        <v>G</v>
      </c>
      <c r="B43" s="41" t="str">
        <f ca="1">IF($D43&lt;&gt;"",CHAR($D43)&amp;E43,OFFSET(Config!$AD$1,FaseGrupos!H43,2*MATCH(FaseGrupos!A43,Config!$AA$3:$AA$11,0)-1))</f>
        <v>C4</v>
      </c>
      <c r="C43" s="41" t="str">
        <f t="shared" ca="1" si="3"/>
        <v>C1</v>
      </c>
      <c r="D43" s="41">
        <f>IF(A43="G",IF(D42&lt;&gt;D41,D42,IF(D42=Config!$V$28,65,D42+1)),"")</f>
        <v>67</v>
      </c>
      <c r="E43" s="41">
        <f ca="1">OFFSET(ConfigParejas!$A$1,FaseGrupos!I43,2*INDEX(Config!$W$14:$W$27,MATCH(D43,Config!$V$14:$V$27,0))-1)</f>
        <v>4</v>
      </c>
      <c r="F43" s="41">
        <f ca="1">OFFSET(ConfigParejas!$A$1,FaseGrupos!I43,2*INDEX(Config!$W$14:$W$27,MATCH(D43,Config!$V$14:$V$27,0)))</f>
        <v>1</v>
      </c>
      <c r="H43" s="94">
        <f>IF(A43="G",ROUND((COUNTIF($D$6:D43,D43))/2,0),ROUND((COUNTIF($A$6:A43,A43)/INDEX(Config!$X$2:$AA$11,MATCH(A43,config_abreviaturas,0),1)),0))</f>
        <v>3</v>
      </c>
      <c r="I43" s="41">
        <f>COUNTIF($D$6:D43,D43)</f>
        <v>6</v>
      </c>
      <c r="J43" s="41">
        <f t="shared" si="4"/>
        <v>1</v>
      </c>
      <c r="K43" s="41">
        <f t="shared" si="12"/>
        <v>0.5</v>
      </c>
      <c r="L43" s="41">
        <f ca="1" xml:space="preserve"> IF(OR(P43=Equipos!$G$5,S43=Equipos!$G$5),1+COUNTIF($L$5:L42,"&gt;=1"),0)</f>
        <v>3</v>
      </c>
      <c r="M43" s="41">
        <f xml:space="preserve"> IF(Z43=Sedes!$G$3,1+COUNTIF($M$5:M42,"&gt;=1"),0)</f>
        <v>0</v>
      </c>
      <c r="N43" s="41" t="str">
        <f>IF(FaseGrupos!D43=Grupos!$A$5,FaseGrupos!I43,"")</f>
        <v/>
      </c>
      <c r="P43" s="101" t="str">
        <f ca="1">LOOKUP(B43,Config!$B$2:$B$33,Config!$E$2:$E$33)</f>
        <v>Dinamarca</v>
      </c>
      <c r="Q43" s="95">
        <v>0</v>
      </c>
      <c r="R43" s="95">
        <v>0</v>
      </c>
      <c r="S43" s="101" t="str">
        <f ca="1">LOOKUP(C43,Config!$B$2:$B$33,Config!$E$2:$E$33)</f>
        <v>Francia</v>
      </c>
      <c r="U43" s="101">
        <f t="shared" si="13"/>
        <v>0.5</v>
      </c>
      <c r="V43" s="101">
        <f t="shared" ca="1" si="5"/>
        <v>5.0761421319796957E-4</v>
      </c>
      <c r="W43" s="101">
        <f ca="1">V43+2*COUNTIF($V$6:V43,V43)+2*ROW()</f>
        <v>162.00050761421318</v>
      </c>
      <c r="X43" s="101">
        <f t="shared" ca="1" si="6"/>
        <v>11</v>
      </c>
      <c r="Z43" s="116" t="s">
        <v>165</v>
      </c>
      <c r="AA43" s="117">
        <f>ConfigHorarios!A39</f>
        <v>43277.666666666664</v>
      </c>
      <c r="AD43" s="132" t="str">
        <f ca="1">Traduccion!$B$9 &amp; " " &amp; MID(FaseGrupos!AC43,2,1)</f>
        <v xml:space="preserve">Grupo </v>
      </c>
      <c r="AE43" s="132"/>
      <c r="AF43" s="118" t="str">
        <f t="shared" ref="AF43:AM43" ca="1" si="14">AF$7</f>
        <v>Pts</v>
      </c>
      <c r="AG43" s="118" t="str">
        <f t="shared" ca="1" si="14"/>
        <v>PJ</v>
      </c>
      <c r="AH43" s="118" t="str">
        <f t="shared" ca="1" si="14"/>
        <v>PG</v>
      </c>
      <c r="AI43" s="118" t="str">
        <f t="shared" ca="1" si="14"/>
        <v>PE</v>
      </c>
      <c r="AJ43" s="118" t="str">
        <f t="shared" ca="1" si="14"/>
        <v>PP</v>
      </c>
      <c r="AK43" s="118" t="str">
        <f t="shared" ca="1" si="14"/>
        <v>GF</v>
      </c>
      <c r="AL43" s="118" t="str">
        <f t="shared" ca="1" si="14"/>
        <v>GC</v>
      </c>
      <c r="AM43" s="118" t="str">
        <f t="shared" ca="1" si="14"/>
        <v>Dif</v>
      </c>
    </row>
    <row r="44" spans="1:39" x14ac:dyDescent="0.25">
      <c r="A44" s="42" t="str">
        <f t="shared" si="2"/>
        <v>G</v>
      </c>
      <c r="B44" s="41" t="str">
        <f ca="1">IF($D44&lt;&gt;"",CHAR($D44)&amp;E44,OFFSET(Config!$AD$1,FaseGrupos!H44,2*MATCH(FaseGrupos!A44,Config!$AA$3:$AA$11,0)-1))</f>
        <v>D2</v>
      </c>
      <c r="C44" s="41" t="str">
        <f t="shared" ca="1" si="3"/>
        <v>D3</v>
      </c>
      <c r="D44" s="41">
        <f>IF(A44="G",IF(D43&lt;&gt;D42,D43,IF(D43=Config!$V$28,65,D43+1)),"")</f>
        <v>68</v>
      </c>
      <c r="E44" s="41">
        <f ca="1">OFFSET(ConfigParejas!$A$1,FaseGrupos!I44,2*INDEX(Config!$W$14:$W$27,MATCH(D44,Config!$V$14:$V$27,0))-1)</f>
        <v>2</v>
      </c>
      <c r="F44" s="41">
        <f ca="1">OFFSET(ConfigParejas!$A$1,FaseGrupos!I44,2*INDEX(Config!$W$14:$W$27,MATCH(D44,Config!$V$14:$V$27,0)))</f>
        <v>3</v>
      </c>
      <c r="H44" s="94">
        <f>IF(A44="G",ROUND((COUNTIF($D$6:D44,D44))/2,0),ROUND((COUNTIF($A$6:A44,A44)/INDEX(Config!$X$2:$AA$11,MATCH(A44,config_abreviaturas,0),1)),0))</f>
        <v>3</v>
      </c>
      <c r="I44" s="41">
        <f>COUNTIF($D$6:D44,D44)</f>
        <v>5</v>
      </c>
      <c r="J44" s="41">
        <f t="shared" si="4"/>
        <v>1</v>
      </c>
      <c r="K44" s="41">
        <f t="shared" si="12"/>
        <v>0</v>
      </c>
      <c r="L44" s="41">
        <f ca="1" xml:space="preserve"> IF(OR(P44=Equipos!$G$5,S44=Equipos!$G$5),1+COUNTIF($L$5:L43,"&gt;=1"),0)</f>
        <v>0</v>
      </c>
      <c r="M44" s="41">
        <f xml:space="preserve"> IF(Z44=Sedes!$G$3,1+COUNTIF($M$5:M43,"&gt;=1"),0)</f>
        <v>0</v>
      </c>
      <c r="N44" s="41" t="str">
        <f>IF(FaseGrupos!D44=Grupos!$A$5,FaseGrupos!I44,"")</f>
        <v/>
      </c>
      <c r="P44" s="101" t="str">
        <f ca="1">LOOKUP(B44,Config!$B$2:$B$33,Config!$E$2:$E$33)</f>
        <v>Islandia</v>
      </c>
      <c r="Q44" s="95">
        <v>1</v>
      </c>
      <c r="R44" s="95">
        <v>2</v>
      </c>
      <c r="S44" s="101" t="str">
        <f ca="1">LOOKUP(C44,Config!$B$2:$B$33,Config!$E$2:$E$33)</f>
        <v>Croacia</v>
      </c>
      <c r="U44" s="101">
        <f t="shared" si="13"/>
        <v>1</v>
      </c>
      <c r="V44" s="101">
        <f t="shared" ca="1" si="5"/>
        <v>5.0761421319796957E-4</v>
      </c>
      <c r="W44" s="101">
        <f ca="1">V44+2*COUNTIF($V$6:V44,V44)+2*ROW()</f>
        <v>166.00050761421318</v>
      </c>
      <c r="X44" s="101">
        <f t="shared" ca="1" si="6"/>
        <v>10</v>
      </c>
      <c r="Z44" s="116" t="s">
        <v>150</v>
      </c>
      <c r="AA44" s="117">
        <f>ConfigHorarios!A40</f>
        <v>43277.833333333336</v>
      </c>
      <c r="AC44" s="42" t="s">
        <v>119</v>
      </c>
      <c r="AD44" s="118">
        <v>1</v>
      </c>
      <c r="AE44" s="119" t="str">
        <f ca="1">VLOOKUP($AD44,Config!A26:M29,FaseGrupos!AE$2,FALSE)</f>
        <v>Bélgica</v>
      </c>
      <c r="AF44" s="119">
        <f ca="1">VLOOKUP($AD44,Config!A26:M29,FaseGrupos!AF$2,FALSE)</f>
        <v>9</v>
      </c>
      <c r="AG44" s="119">
        <f ca="1">VLOOKUP($AD44,Config!A26:M29,FaseGrupos!AG$2,FALSE)</f>
        <v>3</v>
      </c>
      <c r="AH44" s="119">
        <f ca="1">VLOOKUP($AD44,Config!A26:M29,FaseGrupos!AH$2,FALSE)</f>
        <v>3</v>
      </c>
      <c r="AI44" s="119">
        <f ca="1">VLOOKUP($AD44,Config!A26:M29,FaseGrupos!AI$2,FALSE)</f>
        <v>0</v>
      </c>
      <c r="AJ44" s="119">
        <f ca="1">VLOOKUP($AD44,Config!A26:M29,FaseGrupos!AJ$2,FALSE)</f>
        <v>0</v>
      </c>
      <c r="AK44" s="119">
        <f ca="1">VLOOKUP($AD44,Config!A26:M29,FaseGrupos!AK$2,FALSE)</f>
        <v>9</v>
      </c>
      <c r="AL44" s="119">
        <f ca="1">VLOOKUP($AD44,Config!A26:M29,FaseGrupos!AL$2,FALSE)</f>
        <v>2</v>
      </c>
      <c r="AM44" s="119">
        <f ca="1">VLOOKUP($AD44,Config!A26:M29,FaseGrupos!AM$2,FALSE)</f>
        <v>7</v>
      </c>
    </row>
    <row r="45" spans="1:39" x14ac:dyDescent="0.25">
      <c r="A45" s="42" t="str">
        <f t="shared" si="2"/>
        <v>G</v>
      </c>
      <c r="B45" s="41" t="str">
        <f ca="1">IF($D45&lt;&gt;"",CHAR($D45)&amp;E45,OFFSET(Config!$AD$1,FaseGrupos!H45,2*MATCH(FaseGrupos!A45,Config!$AA$3:$AA$11,0)-1))</f>
        <v>D4</v>
      </c>
      <c r="C45" s="41" t="str">
        <f t="shared" ca="1" si="3"/>
        <v>D1</v>
      </c>
      <c r="D45" s="41">
        <f>IF(A45="G",IF(D44&lt;&gt;D43,D44,IF(D44=Config!$V$28,65,D44+1)),"")</f>
        <v>68</v>
      </c>
      <c r="E45" s="41">
        <f ca="1">OFFSET(ConfigParejas!$A$1,FaseGrupos!I45,2*INDEX(Config!$W$14:$W$27,MATCH(D45,Config!$V$14:$V$27,0))-1)</f>
        <v>4</v>
      </c>
      <c r="F45" s="41">
        <f ca="1">OFFSET(ConfigParejas!$A$1,FaseGrupos!I45,2*INDEX(Config!$W$14:$W$27,MATCH(D45,Config!$V$14:$V$27,0)))</f>
        <v>1</v>
      </c>
      <c r="H45" s="94">
        <f>IF(A45="G",ROUND((COUNTIF($D$6:D45,D45))/2,0),ROUND((COUNTIF($A$6:A45,A45)/INDEX(Config!$X$2:$AA$11,MATCH(A45,config_abreviaturas,0),1)),0))</f>
        <v>3</v>
      </c>
      <c r="I45" s="41">
        <f>COUNTIF($D$6:D45,D45)</f>
        <v>6</v>
      </c>
      <c r="J45" s="41">
        <f t="shared" si="4"/>
        <v>1</v>
      </c>
      <c r="K45" s="41">
        <f t="shared" si="12"/>
        <v>0</v>
      </c>
      <c r="L45" s="41">
        <f ca="1" xml:space="preserve"> IF(OR(P45=Equipos!$G$5,S45=Equipos!$G$5),1+COUNTIF($L$5:L44,"&gt;=1"),0)</f>
        <v>0</v>
      </c>
      <c r="M45" s="41">
        <f xml:space="preserve"> IF(Z45=Sedes!$G$3,1+COUNTIF($M$5:M44,"&gt;=1"),0)</f>
        <v>4</v>
      </c>
      <c r="N45" s="41" t="str">
        <f>IF(FaseGrupos!D45=Grupos!$A$5,FaseGrupos!I45,"")</f>
        <v/>
      </c>
      <c r="P45" s="101" t="str">
        <f ca="1">LOOKUP(B45,Config!$B$2:$B$33,Config!$E$2:$E$33)</f>
        <v>Nigeria</v>
      </c>
      <c r="Q45" s="95">
        <v>1</v>
      </c>
      <c r="R45" s="95">
        <v>2</v>
      </c>
      <c r="S45" s="101" t="str">
        <f ca="1">LOOKUP(C45,Config!$B$2:$B$33,Config!$E$2:$E$33)</f>
        <v>Argentina</v>
      </c>
      <c r="U45" s="101">
        <f t="shared" si="13"/>
        <v>1</v>
      </c>
      <c r="V45" s="101">
        <f t="shared" ca="1" si="5"/>
        <v>5.0761421319796957E-4</v>
      </c>
      <c r="W45" s="101">
        <f ca="1">V45+2*COUNTIF($V$6:V45,V45)+2*ROW()</f>
        <v>170.00050761421318</v>
      </c>
      <c r="X45" s="101">
        <f t="shared" ca="1" si="6"/>
        <v>9</v>
      </c>
      <c r="Z45" s="116" t="s">
        <v>144</v>
      </c>
      <c r="AA45" s="117">
        <f>ConfigHorarios!A41</f>
        <v>43277.833333333336</v>
      </c>
      <c r="AC45" s="42" t="s">
        <v>120</v>
      </c>
      <c r="AD45" s="118">
        <v>2</v>
      </c>
      <c r="AE45" s="119" t="str">
        <f ca="1">VLOOKUP($AD45,Config!A26:M29,FaseGrupos!AE$2,FALSE)</f>
        <v>Inglaterra</v>
      </c>
      <c r="AF45" s="119">
        <f ca="1">VLOOKUP($AD45,Config!A26:M29,FaseGrupos!AF$2,FALSE)</f>
        <v>6</v>
      </c>
      <c r="AG45" s="119">
        <f ca="1">VLOOKUP($AD45,Config!A26:M29,FaseGrupos!AG$2,FALSE)</f>
        <v>3</v>
      </c>
      <c r="AH45" s="119">
        <f ca="1">VLOOKUP($AD45,Config!A26:M29,FaseGrupos!AH$2,FALSE)</f>
        <v>2</v>
      </c>
      <c r="AI45" s="119">
        <f ca="1">VLOOKUP($AD45,Config!A26:M29,FaseGrupos!AI$2,FALSE)</f>
        <v>0</v>
      </c>
      <c r="AJ45" s="119">
        <f ca="1">VLOOKUP($AD45,Config!A26:M29,FaseGrupos!AJ$2,FALSE)</f>
        <v>1</v>
      </c>
      <c r="AK45" s="119">
        <f ca="1">VLOOKUP($AD45,Config!A26:M29,FaseGrupos!AK$2,FALSE)</f>
        <v>8</v>
      </c>
      <c r="AL45" s="119">
        <f ca="1">VLOOKUP($AD45,Config!A26:M29,FaseGrupos!AL$2,FALSE)</f>
        <v>3</v>
      </c>
      <c r="AM45" s="119">
        <f ca="1">VLOOKUP($AD45,Config!A26:M29,FaseGrupos!AM$2,FALSE)</f>
        <v>5</v>
      </c>
    </row>
    <row r="46" spans="1:39" x14ac:dyDescent="0.25">
      <c r="A46" s="42" t="str">
        <f t="shared" si="2"/>
        <v>G</v>
      </c>
      <c r="B46" s="41" t="str">
        <f ca="1">IF($D46&lt;&gt;"",CHAR($D46)&amp;E46,OFFSET(Config!$AD$1,FaseGrupos!H46,2*MATCH(FaseGrupos!A46,Config!$AA$3:$AA$11,0)-1))</f>
        <v>E2</v>
      </c>
      <c r="C46" s="41" t="str">
        <f t="shared" ca="1" si="3"/>
        <v>E3</v>
      </c>
      <c r="D46" s="41">
        <f>IF(A46="G",IF(D45&lt;&gt;D44,D45,IF(D45=Config!$V$28,65,D45+1)),"")</f>
        <v>69</v>
      </c>
      <c r="E46" s="41">
        <f ca="1">OFFSET(ConfigParejas!$A$1,FaseGrupos!I46,2*INDEX(Config!$W$14:$W$27,MATCH(D46,Config!$V$14:$V$27,0))-1)</f>
        <v>2</v>
      </c>
      <c r="F46" s="41">
        <f ca="1">OFFSET(ConfigParejas!$A$1,FaseGrupos!I46,2*INDEX(Config!$W$14:$W$27,MATCH(D46,Config!$V$14:$V$27,0)))</f>
        <v>3</v>
      </c>
      <c r="H46" s="94">
        <f>IF(A46="G",ROUND((COUNTIF($D$6:D46,D46))/2,0),ROUND((COUNTIF($A$6:A46,A46)/INDEX(Config!$X$2:$AA$11,MATCH(A46,config_abreviaturas,0),1)),0))</f>
        <v>3</v>
      </c>
      <c r="I46" s="41">
        <f>COUNTIF($D$6:D46,D46)</f>
        <v>5</v>
      </c>
      <c r="J46" s="41">
        <f t="shared" si="4"/>
        <v>1</v>
      </c>
      <c r="K46" s="41">
        <f t="shared" si="12"/>
        <v>0</v>
      </c>
      <c r="L46" s="41">
        <f ca="1" xml:space="preserve"> IF(OR(P46=Equipos!$G$5,S46=Equipos!$G$5),1+COUNTIF($L$5:L45,"&gt;=1"),0)</f>
        <v>0</v>
      </c>
      <c r="M46" s="41">
        <f xml:space="preserve"> IF(Z46=Sedes!$G$3,1+COUNTIF($M$5:M45,"&gt;=1"),0)</f>
        <v>0</v>
      </c>
      <c r="N46" s="41" t="str">
        <f>IF(FaseGrupos!D46=Grupos!$A$5,FaseGrupos!I46,"")</f>
        <v/>
      </c>
      <c r="P46" s="101" t="str">
        <f ca="1">LOOKUP(B46,Config!$B$2:$B$33,Config!$E$2:$E$33)</f>
        <v>Serbia</v>
      </c>
      <c r="Q46" s="95">
        <v>0</v>
      </c>
      <c r="R46" s="95">
        <v>2</v>
      </c>
      <c r="S46" s="101" t="str">
        <f ca="1">LOOKUP(C46,Config!$B$2:$B$33,Config!$E$2:$E$33)</f>
        <v>Brasil</v>
      </c>
      <c r="U46" s="101">
        <f t="shared" si="13"/>
        <v>1</v>
      </c>
      <c r="V46" s="101">
        <f t="shared" ca="1" si="5"/>
        <v>5.0761421319796957E-4</v>
      </c>
      <c r="W46" s="101">
        <f ca="1">V46+2*COUNTIF($V$6:V46,V46)+2*ROW()</f>
        <v>174.00050761421318</v>
      </c>
      <c r="X46" s="101">
        <f t="shared" ca="1" si="6"/>
        <v>8</v>
      </c>
      <c r="Z46" s="116" t="s">
        <v>143</v>
      </c>
      <c r="AA46" s="117">
        <f>ConfigHorarios!A42</f>
        <v>43278.833333333336</v>
      </c>
      <c r="AC46" s="42" t="s">
        <v>121</v>
      </c>
      <c r="AD46" s="118">
        <v>3</v>
      </c>
      <c r="AE46" s="120" t="str">
        <f ca="1">VLOOKUP($AD46,Config!A26:M29,FaseGrupos!AE$2,FALSE)</f>
        <v>Túnez</v>
      </c>
      <c r="AF46" s="120">
        <f ca="1">VLOOKUP($AD46,Config!A26:M29,FaseGrupos!AF$2,FALSE)</f>
        <v>3</v>
      </c>
      <c r="AG46" s="120">
        <f ca="1">VLOOKUP($AD46,Config!A26:M29,FaseGrupos!AG$2,FALSE)</f>
        <v>3</v>
      </c>
      <c r="AH46" s="120">
        <f ca="1">VLOOKUP($AD46,Config!A26:M29,FaseGrupos!AH$2,FALSE)</f>
        <v>1</v>
      </c>
      <c r="AI46" s="120">
        <f ca="1">VLOOKUP($AD46,Config!A26:M29,FaseGrupos!AI$2,FALSE)</f>
        <v>0</v>
      </c>
      <c r="AJ46" s="120">
        <f ca="1">VLOOKUP($AD46,Config!A26:M29,FaseGrupos!AJ$2,FALSE)</f>
        <v>2</v>
      </c>
      <c r="AK46" s="120">
        <f ca="1">VLOOKUP($AD46,Config!A26:M29,FaseGrupos!AK$2,FALSE)</f>
        <v>5</v>
      </c>
      <c r="AL46" s="120">
        <f ca="1">VLOOKUP($AD46,Config!A26:M29,FaseGrupos!AL$2,FALSE)</f>
        <v>8</v>
      </c>
      <c r="AM46" s="120">
        <f ca="1">VLOOKUP($AD46,Config!A26:M29,FaseGrupos!AM$2,FALSE)</f>
        <v>-3</v>
      </c>
    </row>
    <row r="47" spans="1:39" x14ac:dyDescent="0.25">
      <c r="A47" s="42" t="str">
        <f t="shared" si="2"/>
        <v>G</v>
      </c>
      <c r="B47" s="41" t="str">
        <f ca="1">IF($D47&lt;&gt;"",CHAR($D47)&amp;E47,OFFSET(Config!$AD$1,FaseGrupos!H47,2*MATCH(FaseGrupos!A47,Config!$AA$3:$AA$11,0)-1))</f>
        <v>E4</v>
      </c>
      <c r="C47" s="41" t="str">
        <f t="shared" ca="1" si="3"/>
        <v>E1</v>
      </c>
      <c r="D47" s="41">
        <f>IF(A47="G",IF(D46&lt;&gt;D45,D46,IF(D46=Config!$V$28,65,D46+1)),"")</f>
        <v>69</v>
      </c>
      <c r="E47" s="41">
        <f ca="1">OFFSET(ConfigParejas!$A$1,FaseGrupos!I47,2*INDEX(Config!$W$14:$W$27,MATCH(D47,Config!$V$14:$V$27,0))-1)</f>
        <v>4</v>
      </c>
      <c r="F47" s="41">
        <f ca="1">OFFSET(ConfigParejas!$A$1,FaseGrupos!I47,2*INDEX(Config!$W$14:$W$27,MATCH(D47,Config!$V$14:$V$27,0)))</f>
        <v>1</v>
      </c>
      <c r="H47" s="94">
        <f>IF(A47="G",ROUND((COUNTIF($D$6:D47,D47))/2,0),ROUND((COUNTIF($A$6:A47,A47)/INDEX(Config!$X$2:$AA$11,MATCH(A47,config_abreviaturas,0),1)),0))</f>
        <v>3</v>
      </c>
      <c r="I47" s="41">
        <f>COUNTIF($D$6:D47,D47)</f>
        <v>6</v>
      </c>
      <c r="J47" s="41">
        <f t="shared" si="4"/>
        <v>1</v>
      </c>
      <c r="K47" s="41">
        <f t="shared" si="12"/>
        <v>0.5</v>
      </c>
      <c r="L47" s="41">
        <f ca="1" xml:space="preserve"> IF(OR(P47=Equipos!$G$5,S47=Equipos!$G$5),1+COUNTIF($L$5:L46,"&gt;=1"),0)</f>
        <v>0</v>
      </c>
      <c r="M47" s="41">
        <f xml:space="preserve"> IF(Z47=Sedes!$G$3,1+COUNTIF($M$5:M46,"&gt;=1"),0)</f>
        <v>0</v>
      </c>
      <c r="N47" s="41" t="str">
        <f>IF(FaseGrupos!D47=Grupos!$A$5,FaseGrupos!I47,"")</f>
        <v/>
      </c>
      <c r="P47" s="101" t="str">
        <f ca="1">LOOKUP(B47,Config!$B$2:$B$33,Config!$E$2:$E$33)</f>
        <v>Suiza</v>
      </c>
      <c r="Q47" s="95">
        <v>2</v>
      </c>
      <c r="R47" s="95">
        <v>2</v>
      </c>
      <c r="S47" s="101" t="str">
        <f ca="1">LOOKUP(C47,Config!$B$2:$B$33,Config!$E$2:$E$33)</f>
        <v>Costa Rica</v>
      </c>
      <c r="U47" s="101">
        <f t="shared" si="13"/>
        <v>0.5</v>
      </c>
      <c r="V47" s="101">
        <f t="shared" ca="1" si="5"/>
        <v>5.0761421319796957E-4</v>
      </c>
      <c r="W47" s="101">
        <f ca="1">V47+2*COUNTIF($V$6:V47,V47)+2*ROW()</f>
        <v>178.00050761421318</v>
      </c>
      <c r="X47" s="101">
        <f t="shared" ca="1" si="6"/>
        <v>7</v>
      </c>
      <c r="Z47" s="116" t="s">
        <v>146</v>
      </c>
      <c r="AA47" s="117">
        <f>ConfigHorarios!A43</f>
        <v>43278.833333333336</v>
      </c>
      <c r="AC47" s="42" t="s">
        <v>137</v>
      </c>
      <c r="AD47" s="118">
        <v>4</v>
      </c>
      <c r="AE47" s="120" t="str">
        <f ca="1">VLOOKUP($AD47,Config!A26:M29,FaseGrupos!AE$2,FALSE)</f>
        <v>Panamá</v>
      </c>
      <c r="AF47" s="120">
        <f ca="1">VLOOKUP($AD47,Config!A26:M29,FaseGrupos!AF$2,FALSE)</f>
        <v>0</v>
      </c>
      <c r="AG47" s="120">
        <f ca="1">VLOOKUP($AD47,Config!A26:M29,FaseGrupos!AG$2,FALSE)</f>
        <v>3</v>
      </c>
      <c r="AH47" s="120">
        <f ca="1">VLOOKUP($AD47,Config!A26:M29,FaseGrupos!AH$2,FALSE)</f>
        <v>0</v>
      </c>
      <c r="AI47" s="120">
        <f ca="1">VLOOKUP($AD47,Config!A26:M29,FaseGrupos!AI$2,FALSE)</f>
        <v>0</v>
      </c>
      <c r="AJ47" s="120">
        <f ca="1">VLOOKUP($AD47,Config!A26:M29,FaseGrupos!AJ$2,FALSE)</f>
        <v>3</v>
      </c>
      <c r="AK47" s="120">
        <f ca="1">VLOOKUP($AD47,Config!A26:M29,FaseGrupos!AK$2,FALSE)</f>
        <v>2</v>
      </c>
      <c r="AL47" s="120">
        <f ca="1">VLOOKUP($AD47,Config!A26:M29,FaseGrupos!AL$2,FALSE)</f>
        <v>11</v>
      </c>
      <c r="AM47" s="120">
        <f ca="1">VLOOKUP($AD47,Config!A26:M29,FaseGrupos!AM$2,FALSE)</f>
        <v>-9</v>
      </c>
    </row>
    <row r="48" spans="1:39" x14ac:dyDescent="0.25">
      <c r="A48" s="42" t="str">
        <f t="shared" si="2"/>
        <v>G</v>
      </c>
      <c r="B48" s="41" t="str">
        <f ca="1">IF($D48&lt;&gt;"",CHAR($D48)&amp;E48,OFFSET(Config!$AD$1,FaseGrupos!H48,2*MATCH(FaseGrupos!A48,Config!$AA$3:$AA$11,0)-1))</f>
        <v>F2</v>
      </c>
      <c r="C48" s="41" t="str">
        <f t="shared" ca="1" si="3"/>
        <v>F3</v>
      </c>
      <c r="D48" s="41">
        <f>IF(A48="G",IF(D47&lt;&gt;D46,D47,IF(D47=Config!$V$28,65,D47+1)),"")</f>
        <v>70</v>
      </c>
      <c r="E48" s="41">
        <f ca="1">OFFSET(ConfigParejas!$A$1,FaseGrupos!I48,2*INDEX(Config!$W$14:$W$27,MATCH(D48,Config!$V$14:$V$27,0))-1)</f>
        <v>2</v>
      </c>
      <c r="F48" s="41">
        <f ca="1">OFFSET(ConfigParejas!$A$1,FaseGrupos!I48,2*INDEX(Config!$W$14:$W$27,MATCH(D48,Config!$V$14:$V$27,0)))</f>
        <v>3</v>
      </c>
      <c r="H48" s="94">
        <f>IF(A48="G",ROUND((COUNTIF($D$6:D48,D48))/2,0),ROUND((COUNTIF($A$6:A48,A48)/INDEX(Config!$X$2:$AA$11,MATCH(A48,config_abreviaturas,0),1)),0))</f>
        <v>3</v>
      </c>
      <c r="I48" s="41">
        <f>COUNTIF($D$6:D48,D48)</f>
        <v>5</v>
      </c>
      <c r="J48" s="41">
        <f t="shared" si="4"/>
        <v>1</v>
      </c>
      <c r="K48" s="41">
        <f t="shared" si="12"/>
        <v>0</v>
      </c>
      <c r="L48" s="41">
        <f ca="1" xml:space="preserve"> IF(OR(P48=Equipos!$G$5,S48=Equipos!$G$5),1+COUNTIF($L$5:L47,"&gt;=1"),0)</f>
        <v>0</v>
      </c>
      <c r="M48" s="41">
        <f xml:space="preserve"> IF(Z48=Sedes!$G$3,1+COUNTIF($M$5:M47,"&gt;=1"),0)</f>
        <v>0</v>
      </c>
      <c r="N48" s="41" t="str">
        <f>IF(FaseGrupos!D48=Grupos!$A$5,FaseGrupos!I48,"")</f>
        <v/>
      </c>
      <c r="P48" s="101" t="str">
        <f ca="1">LOOKUP(B48,Config!$B$2:$B$33,Config!$E$2:$E$33)</f>
        <v>México</v>
      </c>
      <c r="Q48" s="95">
        <v>0</v>
      </c>
      <c r="R48" s="95">
        <v>3</v>
      </c>
      <c r="S48" s="101" t="str">
        <f ca="1">LOOKUP(C48,Config!$B$2:$B$33,Config!$E$2:$E$33)</f>
        <v>Suecia</v>
      </c>
      <c r="U48" s="101">
        <f t="shared" si="13"/>
        <v>1</v>
      </c>
      <c r="V48" s="101">
        <f t="shared" ca="1" si="5"/>
        <v>5.0761421319796957E-4</v>
      </c>
      <c r="W48" s="101">
        <f ca="1">V48+2*COUNTIF($V$6:V48,V48)+2*ROW()</f>
        <v>182.00050761421318</v>
      </c>
      <c r="X48" s="101">
        <f t="shared" ca="1" si="6"/>
        <v>6</v>
      </c>
      <c r="Z48" s="116" t="s">
        <v>148</v>
      </c>
      <c r="AA48" s="117">
        <f>ConfigHorarios!A44</f>
        <v>43278.666666666664</v>
      </c>
    </row>
    <row r="49" spans="1:39" x14ac:dyDescent="0.25">
      <c r="A49" s="42" t="str">
        <f t="shared" si="2"/>
        <v>G</v>
      </c>
      <c r="B49" s="41" t="str">
        <f ca="1">IF($D49&lt;&gt;"",CHAR($D49)&amp;E49,OFFSET(Config!$AD$1,FaseGrupos!H49,2*MATCH(FaseGrupos!A49,Config!$AA$3:$AA$11,0)-1))</f>
        <v>F4</v>
      </c>
      <c r="C49" s="41" t="str">
        <f t="shared" ca="1" si="3"/>
        <v>F1</v>
      </c>
      <c r="D49" s="41">
        <f>IF(A49="G",IF(D48&lt;&gt;D47,D48,IF(D48=Config!$V$28,65,D48+1)),"")</f>
        <v>70</v>
      </c>
      <c r="E49" s="41">
        <f ca="1">OFFSET(ConfigParejas!$A$1,FaseGrupos!I49,2*INDEX(Config!$W$14:$W$27,MATCH(D49,Config!$V$14:$V$27,0))-1)</f>
        <v>4</v>
      </c>
      <c r="F49" s="41">
        <f ca="1">OFFSET(ConfigParejas!$A$1,FaseGrupos!I49,2*INDEX(Config!$W$14:$W$27,MATCH(D49,Config!$V$14:$V$27,0)))</f>
        <v>1</v>
      </c>
      <c r="H49" s="94">
        <f>IF(A49="G",ROUND((COUNTIF($D$6:D49,D49))/2,0),ROUND((COUNTIF($A$6:A49,A49)/INDEX(Config!$X$2:$AA$11,MATCH(A49,config_abreviaturas,0),1)),0))</f>
        <v>3</v>
      </c>
      <c r="I49" s="41">
        <f>COUNTIF($D$6:D49,D49)</f>
        <v>6</v>
      </c>
      <c r="J49" s="41">
        <f t="shared" si="4"/>
        <v>1</v>
      </c>
      <c r="K49" s="41">
        <f t="shared" si="12"/>
        <v>1</v>
      </c>
      <c r="L49" s="41">
        <f ca="1" xml:space="preserve"> IF(OR(P49=Equipos!$G$5,S49=Equipos!$G$5),1+COUNTIF($L$5:L48,"&gt;=1"),0)</f>
        <v>0</v>
      </c>
      <c r="M49" s="41">
        <f xml:space="preserve"> IF(Z49=Sedes!$G$3,1+COUNTIF($M$5:M48,"&gt;=1"),0)</f>
        <v>0</v>
      </c>
      <c r="N49" s="41" t="str">
        <f>IF(FaseGrupos!D49=Grupos!$A$5,FaseGrupos!I49,"")</f>
        <v/>
      </c>
      <c r="P49" s="101" t="str">
        <f ca="1">LOOKUP(B49,Config!$B$2:$B$33,Config!$E$2:$E$33)</f>
        <v>Corea del Sur</v>
      </c>
      <c r="Q49" s="95">
        <v>2</v>
      </c>
      <c r="R49" s="95">
        <v>0</v>
      </c>
      <c r="S49" s="101" t="str">
        <f ca="1">LOOKUP(C49,Config!$B$2:$B$33,Config!$E$2:$E$33)</f>
        <v>Alemania</v>
      </c>
      <c r="U49" s="101">
        <f t="shared" si="13"/>
        <v>0</v>
      </c>
      <c r="V49" s="101">
        <f t="shared" ca="1" si="5"/>
        <v>5.0761421319796957E-4</v>
      </c>
      <c r="W49" s="101">
        <f ca="1">V49+2*COUNTIF($V$6:V49,V49)+2*ROW()</f>
        <v>186.00050761421318</v>
      </c>
      <c r="X49" s="101">
        <f t="shared" ca="1" si="6"/>
        <v>5</v>
      </c>
      <c r="Z49" s="116" t="s">
        <v>153</v>
      </c>
      <c r="AA49" s="117">
        <f>ConfigHorarios!A45</f>
        <v>43278.666666666664</v>
      </c>
      <c r="AD49" s="132" t="str">
        <f ca="1">Traduccion!$B$9 &amp; " " &amp; MID(FaseGrupos!AC49,2,1)</f>
        <v xml:space="preserve">Grupo </v>
      </c>
      <c r="AE49" s="132"/>
      <c r="AF49" s="118" t="str">
        <f t="shared" ref="AF49:AM49" ca="1" si="15">AF$7</f>
        <v>Pts</v>
      </c>
      <c r="AG49" s="118" t="str">
        <f t="shared" ca="1" si="15"/>
        <v>PJ</v>
      </c>
      <c r="AH49" s="118" t="str">
        <f t="shared" ca="1" si="15"/>
        <v>PG</v>
      </c>
      <c r="AI49" s="118" t="str">
        <f t="shared" ca="1" si="15"/>
        <v>PE</v>
      </c>
      <c r="AJ49" s="118" t="str">
        <f t="shared" ca="1" si="15"/>
        <v>PP</v>
      </c>
      <c r="AK49" s="118" t="str">
        <f t="shared" ca="1" si="15"/>
        <v>GF</v>
      </c>
      <c r="AL49" s="118" t="str">
        <f t="shared" ca="1" si="15"/>
        <v>GC</v>
      </c>
      <c r="AM49" s="118" t="str">
        <f t="shared" ca="1" si="15"/>
        <v>Dif</v>
      </c>
    </row>
    <row r="50" spans="1:39" x14ac:dyDescent="0.25">
      <c r="A50" s="42" t="str">
        <f t="shared" si="2"/>
        <v>G</v>
      </c>
      <c r="B50" s="41" t="str">
        <f ca="1">IF($D50&lt;&gt;"",CHAR($D50)&amp;E50,OFFSET(Config!$AD$1,FaseGrupos!H50,2*MATCH(FaseGrupos!A50,Config!$AA$3:$AA$11,0)-1))</f>
        <v>G2</v>
      </c>
      <c r="C50" s="41" t="str">
        <f t="shared" ca="1" si="3"/>
        <v>G3</v>
      </c>
      <c r="D50" s="41">
        <f>IF(A50="G",IF(D49&lt;&gt;D48,D49,IF(D49=Config!$V$28,65,D49+1)),"")</f>
        <v>71</v>
      </c>
      <c r="E50" s="41">
        <f ca="1">OFFSET(ConfigParejas!$A$1,FaseGrupos!I50,2*INDEX(Config!$W$14:$W$27,MATCH(D50,Config!$V$14:$V$27,0))-1)</f>
        <v>2</v>
      </c>
      <c r="F50" s="41">
        <f ca="1">OFFSET(ConfigParejas!$A$1,FaseGrupos!I50,2*INDEX(Config!$W$14:$W$27,MATCH(D50,Config!$V$14:$V$27,0)))</f>
        <v>3</v>
      </c>
      <c r="H50" s="94">
        <f>IF(A50="G",ROUND((COUNTIF($D$6:D50,D50))/2,0),ROUND((COUNTIF($A$6:A50,A50)/INDEX(Config!$X$2:$AA$11,MATCH(A50,config_abreviaturas,0),1)),0))</f>
        <v>3</v>
      </c>
      <c r="I50" s="41">
        <f>COUNTIF($D$6:D50,D50)</f>
        <v>5</v>
      </c>
      <c r="J50" s="41">
        <f t="shared" si="4"/>
        <v>1</v>
      </c>
      <c r="K50" s="41">
        <f t="shared" si="12"/>
        <v>0</v>
      </c>
      <c r="L50" s="41">
        <f ca="1" xml:space="preserve"> IF(OR(P50=Equipos!$G$5,S50=Equipos!$G$5),1+COUNTIF($L$5:L49,"&gt;=1"),0)</f>
        <v>0</v>
      </c>
      <c r="M50" s="41">
        <f xml:space="preserve"> IF(Z50=Sedes!$G$3,1+COUNTIF($M$5:M49,"&gt;=1"),0)</f>
        <v>0</v>
      </c>
      <c r="N50" s="41" t="str">
        <f>IF(FaseGrupos!D50=Grupos!$A$5,FaseGrupos!I50,"")</f>
        <v/>
      </c>
      <c r="P50" s="101" t="str">
        <f ca="1">LOOKUP(B50,Config!$B$2:$B$33,Config!$E$2:$E$33)</f>
        <v>Panamá</v>
      </c>
      <c r="Q50" s="95">
        <v>1</v>
      </c>
      <c r="R50" s="95">
        <v>2</v>
      </c>
      <c r="S50" s="101" t="str">
        <f ca="1">LOOKUP(C50,Config!$B$2:$B$33,Config!$E$2:$E$33)</f>
        <v>Túnez</v>
      </c>
      <c r="U50" s="101">
        <f t="shared" si="13"/>
        <v>1</v>
      </c>
      <c r="V50" s="101">
        <f t="shared" ca="1" si="5"/>
        <v>5.0761421319796957E-4</v>
      </c>
      <c r="W50" s="101">
        <f ca="1">V50+2*COUNTIF($V$6:V50,V50)+2*ROW()</f>
        <v>190.00050761421318</v>
      </c>
      <c r="X50" s="101">
        <f t="shared" ca="1" si="6"/>
        <v>4</v>
      </c>
      <c r="Z50" s="116" t="s">
        <v>151</v>
      </c>
      <c r="AA50" s="117">
        <f>ConfigHorarios!A46</f>
        <v>43279.833333333336</v>
      </c>
      <c r="AC50" s="42" t="s">
        <v>122</v>
      </c>
      <c r="AD50" s="118">
        <v>1</v>
      </c>
      <c r="AE50" s="119" t="str">
        <f ca="1">VLOOKUP($AD50,Config!A30:M33,FaseGrupos!AE$2,FALSE)</f>
        <v>Colombia</v>
      </c>
      <c r="AF50" s="119">
        <f ca="1">VLOOKUP($AD50,Config!A30:M33,FaseGrupos!AF$2,FALSE)</f>
        <v>6</v>
      </c>
      <c r="AG50" s="119">
        <f ca="1">VLOOKUP($AD50,Config!A30:M33,FaseGrupos!AG$2,FALSE)</f>
        <v>3</v>
      </c>
      <c r="AH50" s="119">
        <f ca="1">VLOOKUP($AD50,Config!A30:M33,FaseGrupos!AH$2,FALSE)</f>
        <v>2</v>
      </c>
      <c r="AI50" s="119">
        <f ca="1">VLOOKUP($AD50,Config!A30:M33,FaseGrupos!AI$2,FALSE)</f>
        <v>0</v>
      </c>
      <c r="AJ50" s="119">
        <f ca="1">VLOOKUP($AD50,Config!A30:M33,FaseGrupos!AJ$2,FALSE)</f>
        <v>1</v>
      </c>
      <c r="AK50" s="119">
        <f ca="1">VLOOKUP($AD50,Config!A30:M33,FaseGrupos!AK$2,FALSE)</f>
        <v>5</v>
      </c>
      <c r="AL50" s="119">
        <f ca="1">VLOOKUP($AD50,Config!A30:M33,FaseGrupos!AL$2,FALSE)</f>
        <v>2</v>
      </c>
      <c r="AM50" s="119">
        <f ca="1">VLOOKUP($AD50,Config!A30:M33,FaseGrupos!AM$2,FALSE)</f>
        <v>3</v>
      </c>
    </row>
    <row r="51" spans="1:39" x14ac:dyDescent="0.25">
      <c r="A51" s="42" t="str">
        <f t="shared" si="2"/>
        <v>G</v>
      </c>
      <c r="B51" s="41" t="str">
        <f ca="1">IF($D51&lt;&gt;"",CHAR($D51)&amp;E51,OFFSET(Config!$AD$1,FaseGrupos!H51,2*MATCH(FaseGrupos!A51,Config!$AA$3:$AA$11,0)-1))</f>
        <v>G4</v>
      </c>
      <c r="C51" s="41" t="str">
        <f t="shared" ca="1" si="3"/>
        <v>G1</v>
      </c>
      <c r="D51" s="41">
        <f>IF(A51="G",IF(D50&lt;&gt;D49,D50,IF(D50=Config!$V$28,65,D50+1)),"")</f>
        <v>71</v>
      </c>
      <c r="E51" s="41">
        <f ca="1">OFFSET(ConfigParejas!$A$1,FaseGrupos!I51,2*INDEX(Config!$W$14:$W$27,MATCH(D51,Config!$V$14:$V$27,0))-1)</f>
        <v>4</v>
      </c>
      <c r="F51" s="41">
        <f ca="1">OFFSET(ConfigParejas!$A$1,FaseGrupos!I51,2*INDEX(Config!$W$14:$W$27,MATCH(D51,Config!$V$14:$V$27,0)))</f>
        <v>1</v>
      </c>
      <c r="H51" s="94">
        <f>IF(A51="G",ROUND((COUNTIF($D$6:D51,D51))/2,0),ROUND((COUNTIF($A$6:A51,A51)/INDEX(Config!$X$2:$AA$11,MATCH(A51,config_abreviaturas,0),1)),0))</f>
        <v>3</v>
      </c>
      <c r="I51" s="41">
        <f>COUNTIF($D$6:D51,D51)</f>
        <v>6</v>
      </c>
      <c r="J51" s="41">
        <f t="shared" si="4"/>
        <v>1</v>
      </c>
      <c r="K51" s="41">
        <f t="shared" si="12"/>
        <v>0</v>
      </c>
      <c r="L51" s="41">
        <f ca="1" xml:space="preserve"> IF(OR(P51=Equipos!$G$5,S51=Equipos!$G$5),1+COUNTIF($L$5:L50,"&gt;=1"),0)</f>
        <v>0</v>
      </c>
      <c r="M51" s="41">
        <f xml:space="preserve"> IF(Z51=Sedes!$G$3,1+COUNTIF($M$5:M50,"&gt;=1"),0)</f>
        <v>0</v>
      </c>
      <c r="N51" s="41" t="str">
        <f>IF(FaseGrupos!D51=Grupos!$A$5,FaseGrupos!I51,"")</f>
        <v/>
      </c>
      <c r="P51" s="101" t="str">
        <f ca="1">LOOKUP(B51,Config!$B$2:$B$33,Config!$E$2:$E$33)</f>
        <v>Inglaterra</v>
      </c>
      <c r="Q51" s="95">
        <v>0</v>
      </c>
      <c r="R51" s="95">
        <v>1</v>
      </c>
      <c r="S51" s="101" t="str">
        <f ca="1">LOOKUP(C51,Config!$B$2:$B$33,Config!$E$2:$E$33)</f>
        <v>Bélgica</v>
      </c>
      <c r="U51" s="101">
        <f t="shared" si="13"/>
        <v>1</v>
      </c>
      <c r="V51" s="101">
        <f t="shared" ca="1" si="5"/>
        <v>5.0761421319796957E-4</v>
      </c>
      <c r="W51" s="101">
        <f ca="1">V51+2*COUNTIF($V$6:V51,V51)+2*ROW()</f>
        <v>194.00050761421318</v>
      </c>
      <c r="X51" s="101">
        <f t="shared" ca="1" si="6"/>
        <v>3</v>
      </c>
      <c r="Z51" s="116" t="s">
        <v>145</v>
      </c>
      <c r="AA51" s="117">
        <f>ConfigHorarios!A47</f>
        <v>43279.833333333336</v>
      </c>
      <c r="AC51" s="42" t="s">
        <v>123</v>
      </c>
      <c r="AD51" s="118">
        <v>2</v>
      </c>
      <c r="AE51" s="119" t="str">
        <f ca="1">VLOOKUP($AD51,Config!A30:M33,FaseGrupos!AE$2,FALSE)</f>
        <v>Japón</v>
      </c>
      <c r="AF51" s="119">
        <f ca="1">VLOOKUP($AD51,Config!A30:M33,FaseGrupos!AF$2,FALSE)</f>
        <v>4</v>
      </c>
      <c r="AG51" s="119">
        <f ca="1">VLOOKUP($AD51,Config!A30:M33,FaseGrupos!AG$2,FALSE)</f>
        <v>3</v>
      </c>
      <c r="AH51" s="119">
        <f ca="1">VLOOKUP($AD51,Config!A30:M33,FaseGrupos!AH$2,FALSE)</f>
        <v>1</v>
      </c>
      <c r="AI51" s="119">
        <f ca="1">VLOOKUP($AD51,Config!A30:M33,FaseGrupos!AI$2,FALSE)</f>
        <v>1</v>
      </c>
      <c r="AJ51" s="119">
        <f ca="1">VLOOKUP($AD51,Config!A30:M33,FaseGrupos!AJ$2,FALSE)</f>
        <v>1</v>
      </c>
      <c r="AK51" s="119">
        <f ca="1">VLOOKUP($AD51,Config!A30:M33,FaseGrupos!AK$2,FALSE)</f>
        <v>4</v>
      </c>
      <c r="AL51" s="119">
        <f ca="1">VLOOKUP($AD51,Config!A30:M33,FaseGrupos!AL$2,FALSE)</f>
        <v>4</v>
      </c>
      <c r="AM51" s="119">
        <f ca="1">VLOOKUP($AD51,Config!A30:M33,FaseGrupos!AM$2,FALSE)</f>
        <v>0</v>
      </c>
    </row>
    <row r="52" spans="1:39" x14ac:dyDescent="0.25">
      <c r="A52" s="42" t="str">
        <f t="shared" si="2"/>
        <v>G</v>
      </c>
      <c r="B52" s="41" t="str">
        <f ca="1">IF($D52&lt;&gt;"",CHAR($D52)&amp;E52,OFFSET(Config!$AD$1,FaseGrupos!H52,2*MATCH(FaseGrupos!A52,Config!$AA$3:$AA$11,0)-1))</f>
        <v>H2</v>
      </c>
      <c r="C52" s="41" t="str">
        <f t="shared" ca="1" si="3"/>
        <v>H3</v>
      </c>
      <c r="D52" s="41">
        <f>IF(A52="G",IF(D51&lt;&gt;D50,D51,IF(D51=Config!$V$28,65,D51+1)),"")</f>
        <v>72</v>
      </c>
      <c r="E52" s="41">
        <f ca="1">OFFSET(ConfigParejas!$A$1,FaseGrupos!I52,2*INDEX(Config!$W$14:$W$27,MATCH(D52,Config!$V$14:$V$27,0))-1)</f>
        <v>2</v>
      </c>
      <c r="F52" s="41">
        <f ca="1">OFFSET(ConfigParejas!$A$1,FaseGrupos!I52,2*INDEX(Config!$W$14:$W$27,MATCH(D52,Config!$V$14:$V$27,0)))</f>
        <v>3</v>
      </c>
      <c r="H52" s="94">
        <f>IF(A52="G",ROUND((COUNTIF($D$6:D52,D52))/2,0),ROUND((COUNTIF($A$6:A52,A52)/INDEX(Config!$X$2:$AA$11,MATCH(A52,config_abreviaturas,0),1)),0))</f>
        <v>3</v>
      </c>
      <c r="I52" s="41">
        <f>COUNTIF($D$6:D52,D52)</f>
        <v>5</v>
      </c>
      <c r="J52" s="41">
        <f t="shared" si="4"/>
        <v>1</v>
      </c>
      <c r="K52" s="41">
        <f t="shared" si="12"/>
        <v>0</v>
      </c>
      <c r="L52" s="41">
        <f ca="1" xml:space="preserve"> IF(OR(P52=Equipos!$G$5,S52=Equipos!$G$5),1+COUNTIF($L$5:L51,"&gt;=1"),0)</f>
        <v>0</v>
      </c>
      <c r="M52" s="41">
        <f xml:space="preserve"> IF(Z52=Sedes!$G$3,1+COUNTIF($M$5:M51,"&gt;=1"),0)</f>
        <v>0</v>
      </c>
      <c r="N52" s="41" t="str">
        <f>IF(FaseGrupos!D52=Grupos!$A$5,FaseGrupos!I52,"")</f>
        <v/>
      </c>
      <c r="P52" s="101" t="str">
        <f ca="1">LOOKUP(B52,Config!$B$2:$B$33,Config!$E$2:$E$33)</f>
        <v>Japón</v>
      </c>
      <c r="Q52" s="95">
        <v>0</v>
      </c>
      <c r="R52" s="95">
        <v>1</v>
      </c>
      <c r="S52" s="101" t="str">
        <f ca="1">LOOKUP(C52,Config!$B$2:$B$33,Config!$E$2:$E$33)</f>
        <v>Polonia</v>
      </c>
      <c r="U52" s="101">
        <f t="shared" si="13"/>
        <v>1</v>
      </c>
      <c r="V52" s="101">
        <f t="shared" ca="1" si="5"/>
        <v>5.0761421319796957E-4</v>
      </c>
      <c r="W52" s="101">
        <f ca="1">V52+2*COUNTIF($V$6:V52,V52)+2*ROW()</f>
        <v>198.00050761421318</v>
      </c>
      <c r="X52" s="101">
        <f t="shared" ca="1" si="6"/>
        <v>2</v>
      </c>
      <c r="Z52" s="116" t="s">
        <v>147</v>
      </c>
      <c r="AA52" s="117">
        <f>ConfigHorarios!A48</f>
        <v>43279.666666666664</v>
      </c>
      <c r="AC52" s="42" t="s">
        <v>124</v>
      </c>
      <c r="AD52" s="118">
        <v>3</v>
      </c>
      <c r="AE52" s="120" t="str">
        <f ca="1">VLOOKUP($AD52,Config!A30:M33,FaseGrupos!AE$2,FALSE)</f>
        <v>Senegal</v>
      </c>
      <c r="AF52" s="120">
        <f ca="1">VLOOKUP($AD52,Config!A30:M33,FaseGrupos!AF$2,FALSE)</f>
        <v>4</v>
      </c>
      <c r="AG52" s="120">
        <f ca="1">VLOOKUP($AD52,Config!A30:M33,FaseGrupos!AG$2,FALSE)</f>
        <v>3</v>
      </c>
      <c r="AH52" s="120">
        <f ca="1">VLOOKUP($AD52,Config!A30:M33,FaseGrupos!AH$2,FALSE)</f>
        <v>1</v>
      </c>
      <c r="AI52" s="120">
        <f ca="1">VLOOKUP($AD52,Config!A30:M33,FaseGrupos!AI$2,FALSE)</f>
        <v>1</v>
      </c>
      <c r="AJ52" s="120">
        <f ca="1">VLOOKUP($AD52,Config!A30:M33,FaseGrupos!AJ$2,FALSE)</f>
        <v>1</v>
      </c>
      <c r="AK52" s="120">
        <f ca="1">VLOOKUP($AD52,Config!A30:M33,FaseGrupos!AK$2,FALSE)</f>
        <v>4</v>
      </c>
      <c r="AL52" s="120">
        <f ca="1">VLOOKUP($AD52,Config!A30:M33,FaseGrupos!AL$2,FALSE)</f>
        <v>4</v>
      </c>
      <c r="AM52" s="120">
        <f ca="1">VLOOKUP($AD52,Config!A30:M33,FaseGrupos!AM$2,FALSE)</f>
        <v>0</v>
      </c>
    </row>
    <row r="53" spans="1:39" x14ac:dyDescent="0.25">
      <c r="A53" s="42" t="str">
        <f t="shared" si="2"/>
        <v>G</v>
      </c>
      <c r="B53" s="41" t="str">
        <f ca="1">IF($D53&lt;&gt;"",CHAR($D53)&amp;E53,OFFSET(Config!$AD$1,FaseGrupos!H53,2*MATCH(FaseGrupos!A53,Config!$AA$3:$AA$11,0)-1))</f>
        <v>H4</v>
      </c>
      <c r="C53" s="41" t="str">
        <f t="shared" ca="1" si="3"/>
        <v>H1</v>
      </c>
      <c r="D53" s="41">
        <f>IF(A53="G",IF(D52&lt;&gt;D51,D52,IF(D52=Config!$V$28,65,D52+1)),"")</f>
        <v>72</v>
      </c>
      <c r="E53" s="41">
        <f ca="1">OFFSET(ConfigParejas!$A$1,FaseGrupos!I53,2*INDEX(Config!$W$14:$W$27,MATCH(D53,Config!$V$14:$V$27,0))-1)</f>
        <v>4</v>
      </c>
      <c r="F53" s="41">
        <f ca="1">OFFSET(ConfigParejas!$A$1,FaseGrupos!I53,2*INDEX(Config!$W$14:$W$27,MATCH(D53,Config!$V$14:$V$27,0)))</f>
        <v>1</v>
      </c>
      <c r="H53" s="94">
        <f>IF(A53="G",ROUND((COUNTIF($D$6:D53,D53))/2,0),ROUND((COUNTIF($A$6:A53,A53)/INDEX(Config!$X$2:$AA$11,MATCH(A53,config_abreviaturas,0),1)),0))</f>
        <v>3</v>
      </c>
      <c r="I53" s="41">
        <f>COUNTIF($D$6:D53,D53)</f>
        <v>6</v>
      </c>
      <c r="J53" s="41">
        <f t="shared" si="4"/>
        <v>1</v>
      </c>
      <c r="K53" s="41">
        <f t="shared" si="12"/>
        <v>0</v>
      </c>
      <c r="L53" s="41">
        <f ca="1" xml:space="preserve"> IF(OR(P53=Equipos!$G$5,S53=Equipos!$G$5),1+COUNTIF($L$5:L52,"&gt;=1"),0)</f>
        <v>0</v>
      </c>
      <c r="M53" s="41">
        <f xml:space="preserve"> IF(Z53=Sedes!$G$3,1+COUNTIF($M$5:M52,"&gt;=1"),0)</f>
        <v>0</v>
      </c>
      <c r="N53" s="41" t="str">
        <f>IF(FaseGrupos!D53=Grupos!$A$5,FaseGrupos!I53,"")</f>
        <v/>
      </c>
      <c r="P53" s="101" t="str">
        <f ca="1">LOOKUP(B53,Config!$B$2:$B$33,Config!$E$2:$E$33)</f>
        <v>Senegal</v>
      </c>
      <c r="Q53" s="95">
        <v>0</v>
      </c>
      <c r="R53" s="95">
        <v>1</v>
      </c>
      <c r="S53" s="101" t="str">
        <f ca="1">LOOKUP(C53,Config!$B$2:$B$33,Config!$E$2:$E$33)</f>
        <v>Colombia</v>
      </c>
      <c r="U53" s="101">
        <f t="shared" si="13"/>
        <v>1</v>
      </c>
      <c r="V53" s="101">
        <f t="shared" ca="1" si="5"/>
        <v>5.0761421319796957E-4</v>
      </c>
      <c r="W53" s="101">
        <f ca="1">V53+2*COUNTIF($V$6:V53,V53)+2*ROW()</f>
        <v>202.00050761421318</v>
      </c>
      <c r="X53" s="101">
        <f t="shared" ca="1" si="6"/>
        <v>1</v>
      </c>
      <c r="Z53" s="116" t="s">
        <v>152</v>
      </c>
      <c r="AA53" s="117">
        <f>ConfigHorarios!A49</f>
        <v>43279.666666666664</v>
      </c>
      <c r="AC53" s="42" t="s">
        <v>138</v>
      </c>
      <c r="AD53" s="118">
        <v>4</v>
      </c>
      <c r="AE53" s="120" t="str">
        <f ca="1">VLOOKUP($AD53,Config!A30:M33,FaseGrupos!AE$2,FALSE)</f>
        <v>Polonia</v>
      </c>
      <c r="AF53" s="120">
        <f ca="1">VLOOKUP($AD53,Config!A30:M33,FaseGrupos!AF$2,FALSE)</f>
        <v>3</v>
      </c>
      <c r="AG53" s="120">
        <f ca="1">VLOOKUP($AD53,Config!A30:M33,FaseGrupos!AG$2,FALSE)</f>
        <v>3</v>
      </c>
      <c r="AH53" s="120">
        <f ca="1">VLOOKUP($AD53,Config!A30:M33,FaseGrupos!AH$2,FALSE)</f>
        <v>1</v>
      </c>
      <c r="AI53" s="120">
        <f ca="1">VLOOKUP($AD53,Config!A30:M33,FaseGrupos!AI$2,FALSE)</f>
        <v>0</v>
      </c>
      <c r="AJ53" s="120">
        <f ca="1">VLOOKUP($AD53,Config!A30:M33,FaseGrupos!AJ$2,FALSE)</f>
        <v>2</v>
      </c>
      <c r="AK53" s="120">
        <f ca="1">VLOOKUP($AD53,Config!A30:M33,FaseGrupos!AK$2,FALSE)</f>
        <v>2</v>
      </c>
      <c r="AL53" s="120">
        <f ca="1">VLOOKUP($AD53,Config!A30:M33,FaseGrupos!AL$2,FALSE)</f>
        <v>5</v>
      </c>
      <c r="AM53" s="120">
        <f ca="1">VLOOKUP($AD53,Config!A30:M33,FaseGrupos!AM$2,FALSE)</f>
        <v>-3</v>
      </c>
    </row>
    <row r="54" spans="1:39" x14ac:dyDescent="0.25">
      <c r="K54" s="41" t="str">
        <f t="shared" si="12"/>
        <v/>
      </c>
      <c r="U54" s="101" t="str">
        <f t="shared" si="13"/>
        <v/>
      </c>
    </row>
    <row r="55" spans="1:39" hidden="1" x14ac:dyDescent="0.25">
      <c r="K55" s="41" t="str">
        <f t="shared" si="12"/>
        <v/>
      </c>
      <c r="U55" s="101" t="str">
        <f t="shared" si="13"/>
        <v/>
      </c>
    </row>
    <row r="56" spans="1:39" hidden="1" x14ac:dyDescent="0.25">
      <c r="K56" s="41" t="str">
        <f t="shared" si="12"/>
        <v/>
      </c>
      <c r="U56" s="101" t="str">
        <f t="shared" si="13"/>
        <v/>
      </c>
    </row>
    <row r="57" spans="1:39" hidden="1" x14ac:dyDescent="0.25">
      <c r="K57" s="41" t="str">
        <f t="shared" si="12"/>
        <v/>
      </c>
      <c r="U57" s="101" t="str">
        <f t="shared" si="13"/>
        <v/>
      </c>
    </row>
    <row r="58" spans="1:39" hidden="1" x14ac:dyDescent="0.25">
      <c r="K58" s="41" t="str">
        <f t="shared" si="12"/>
        <v/>
      </c>
      <c r="U58" s="101" t="str">
        <f t="shared" si="13"/>
        <v/>
      </c>
    </row>
    <row r="59" spans="1:39" hidden="1" x14ac:dyDescent="0.25"/>
    <row r="60" spans="1:39" hidden="1" x14ac:dyDescent="0.25"/>
    <row r="61" spans="1:39" hidden="1" x14ac:dyDescent="0.25"/>
    <row r="62" spans="1:39" hidden="1" x14ac:dyDescent="0.25"/>
    <row r="63" spans="1:39" hidden="1" x14ac:dyDescent="0.25"/>
    <row r="64" spans="1:39"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sheetData>
  <sheetProtection sheet="1" objects="1" scenarios="1"/>
  <mergeCells count="10">
    <mergeCell ref="P5:S5"/>
    <mergeCell ref="AD43:AE43"/>
    <mergeCell ref="AD49:AE49"/>
    <mergeCell ref="AD7:AE7"/>
    <mergeCell ref="AD13:AE13"/>
    <mergeCell ref="AD19:AE19"/>
    <mergeCell ref="AD25:AE25"/>
    <mergeCell ref="AD31:AE31"/>
    <mergeCell ref="AD37:AE37"/>
    <mergeCell ref="AD5:AM5"/>
  </mergeCells>
  <conditionalFormatting sqref="P6">
    <cfRule type="expression" dxfId="137" priority="44">
      <formula>IF(K6=0,TRUE,FALSE)</formula>
    </cfRule>
    <cfRule type="expression" dxfId="136" priority="45">
      <formula>IF(K6=0.5,TRUE,FALSE)</formula>
    </cfRule>
    <cfRule type="expression" dxfId="135" priority="74">
      <formula>IF($P6&lt;&gt;"",TRUE,FALSE)</formula>
    </cfRule>
    <cfRule type="expression" dxfId="134" priority="81">
      <formula>IF(K6=1,TRUE,FALSE)</formula>
    </cfRule>
  </conditionalFormatting>
  <conditionalFormatting sqref="Q6:S6">
    <cfRule type="expression" dxfId="133" priority="93">
      <formula>IF($P6&lt;&gt;"",TRUE,FALSE)</formula>
    </cfRule>
  </conditionalFormatting>
  <conditionalFormatting sqref="Q6:R6">
    <cfRule type="expression" dxfId="132" priority="82">
      <formula>IF(ISBLANK(Q6),TRUE,FALSE)</formula>
    </cfRule>
  </conditionalFormatting>
  <conditionalFormatting sqref="S6">
    <cfRule type="expression" dxfId="131" priority="46">
      <formula>IF(K6=0.5,TRUE,FALSE)</formula>
    </cfRule>
    <cfRule type="expression" dxfId="130" priority="47">
      <formula>IF(K6=1,TRUE,FALSE)</formula>
    </cfRule>
    <cfRule type="expression" dxfId="129" priority="80">
      <formula>IF(K6=0,TRUE,FALSE)</formula>
    </cfRule>
  </conditionalFormatting>
  <conditionalFormatting sqref="Z6:AA6 AA7:AA53">
    <cfRule type="expression" dxfId="128" priority="61">
      <formula>IF($P6&lt;&gt;"",TRUE,FALSE)</formula>
    </cfRule>
  </conditionalFormatting>
  <conditionalFormatting sqref="Z7:Z53">
    <cfRule type="expression" dxfId="127" priority="60">
      <formula>IF($P7&lt;&gt;"",TRUE,FALSE)</formula>
    </cfRule>
  </conditionalFormatting>
  <conditionalFormatting sqref="P7:P53">
    <cfRule type="expression" dxfId="126" priority="5">
      <formula>IF(K7=0,TRUE,FALSE)</formula>
    </cfRule>
    <cfRule type="expression" dxfId="125" priority="6">
      <formula>IF(K7=0.5,TRUE,FALSE)</formula>
    </cfRule>
    <cfRule type="expression" dxfId="124" priority="9">
      <formula>IF($P7&lt;&gt;"",TRUE,FALSE)</formula>
    </cfRule>
    <cfRule type="expression" dxfId="123" priority="11">
      <formula>IF(K7=1,TRUE,FALSE)</formula>
    </cfRule>
  </conditionalFormatting>
  <conditionalFormatting sqref="Q7:S53">
    <cfRule type="expression" dxfId="122" priority="14">
      <formula>IF($P7&lt;&gt;"",TRUE,FALSE)</formula>
    </cfRule>
  </conditionalFormatting>
  <conditionalFormatting sqref="Q7:R53">
    <cfRule type="expression" dxfId="121" priority="12">
      <formula>IF(ISBLANK(Q7),TRUE,FALSE)</formula>
    </cfRule>
  </conditionalFormatting>
  <conditionalFormatting sqref="S7:S53">
    <cfRule type="expression" dxfId="120" priority="7">
      <formula>IF(K7=0.5,TRUE,FALSE)</formula>
    </cfRule>
    <cfRule type="expression" dxfId="119" priority="8">
      <formula>IF(K7=1,TRUE,FALSE)</formula>
    </cfRule>
    <cfRule type="expression" dxfId="118" priority="10">
      <formula>IF(K7=0,TRUE,FALSE)</formula>
    </cfRule>
  </conditionalFormatting>
  <dataValidations count="1">
    <dataValidation type="list" allowBlank="1" showInputMessage="1" showErrorMessage="1" sqref="Z6:Z53">
      <formula1>estadios</formula1>
    </dataValidation>
  </dataValidations>
  <hyperlinks>
    <hyperlink ref="AD5:AM5" location="FairPlay!A1" display="Modificar puntos de Juego Limpio"/>
  </hyperlinks>
  <pageMargins left="0.7" right="0.7" top="0.75" bottom="0.75" header="0.3" footer="0.3"/>
  <pageSetup paperSize="9" orientation="portrait" horizontalDpi="0" verticalDpi="0"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M36"/>
  <sheetViews>
    <sheetView showGridLines="0" showRowColHeaders="0" workbookViewId="0">
      <selection activeCell="G14" sqref="G14"/>
    </sheetView>
  </sheetViews>
  <sheetFormatPr baseColWidth="10" defaultColWidth="0" defaultRowHeight="15" zeroHeight="1" x14ac:dyDescent="0.25"/>
  <cols>
    <col min="1" max="1" width="3.28515625" customWidth="1"/>
    <col min="2" max="2" width="13.7109375" bestFit="1" customWidth="1"/>
    <col min="3" max="3" width="12.5703125" style="25" bestFit="1" customWidth="1"/>
    <col min="4" max="5" width="11.42578125" customWidth="1"/>
    <col min="6" max="6" width="18" customWidth="1"/>
    <col min="7" max="7" width="6.42578125" customWidth="1"/>
    <col min="8" max="12" width="11.42578125" customWidth="1"/>
    <col min="13" max="13" width="3.28515625" customWidth="1"/>
    <col min="14" max="16384" width="11.42578125" hidden="1"/>
  </cols>
  <sheetData>
    <row r="1" spans="2:9" ht="109.5" customHeight="1" x14ac:dyDescent="0.25"/>
    <row r="2" spans="2:9" ht="7.5" customHeight="1" x14ac:dyDescent="0.25">
      <c r="F2" s="26"/>
    </row>
    <row r="3" spans="2:9" x14ac:dyDescent="0.25">
      <c r="B3" s="23" t="str">
        <f ca="1">Traduccion!B10</f>
        <v>Selección</v>
      </c>
      <c r="C3" s="28" t="str">
        <f ca="1">Traduccion!B11</f>
        <v>Juego Limpio</v>
      </c>
      <c r="E3" s="137" t="s">
        <v>229</v>
      </c>
      <c r="F3" s="137"/>
      <c r="G3" s="137"/>
    </row>
    <row r="4" spans="2:9" x14ac:dyDescent="0.25">
      <c r="B4" s="24" t="str">
        <f ca="1">Config!E2</f>
        <v>Rusia</v>
      </c>
      <c r="C4" s="31"/>
    </row>
    <row r="5" spans="2:9" x14ac:dyDescent="0.25">
      <c r="B5" s="24" t="str">
        <f ca="1">Config!E3</f>
        <v>Arabia Saudita</v>
      </c>
      <c r="C5" s="31"/>
      <c r="E5" s="136" t="str">
        <f ca="1">Traduccion!B12</f>
        <v>Instrucciones</v>
      </c>
      <c r="F5" s="136"/>
      <c r="G5" s="136"/>
      <c r="I5" s="6"/>
    </row>
    <row r="6" spans="2:9" ht="15" customHeight="1" x14ac:dyDescent="0.25">
      <c r="B6" s="24" t="str">
        <f ca="1">Config!E4</f>
        <v>Egipto</v>
      </c>
      <c r="C6" s="31"/>
      <c r="E6" s="138" t="s">
        <v>230</v>
      </c>
      <c r="F6" s="138"/>
      <c r="G6" s="138"/>
      <c r="I6" s="6"/>
    </row>
    <row r="7" spans="2:9" ht="15.75" thickBot="1" x14ac:dyDescent="0.3">
      <c r="B7" s="29" t="str">
        <f ca="1">Config!E5</f>
        <v>Uruguay</v>
      </c>
      <c r="C7" s="32"/>
      <c r="E7" s="138"/>
      <c r="F7" s="138"/>
      <c r="G7" s="138"/>
      <c r="I7" s="6"/>
    </row>
    <row r="8" spans="2:9" ht="15.75" thickTop="1" x14ac:dyDescent="0.25">
      <c r="B8" s="24" t="str">
        <f ca="1">Config!E6</f>
        <v>Marruecos</v>
      </c>
      <c r="C8" s="31"/>
      <c r="E8" s="138"/>
      <c r="F8" s="138"/>
      <c r="G8" s="138"/>
      <c r="I8" s="6"/>
    </row>
    <row r="9" spans="2:9" x14ac:dyDescent="0.25">
      <c r="B9" s="24" t="str">
        <f ca="1">Config!E7</f>
        <v>Irán</v>
      </c>
      <c r="C9" s="31"/>
      <c r="E9" s="138"/>
      <c r="F9" s="138"/>
      <c r="G9" s="138"/>
    </row>
    <row r="10" spans="2:9" x14ac:dyDescent="0.25">
      <c r="B10" s="24" t="str">
        <f ca="1">Config!E8</f>
        <v>Portugal</v>
      </c>
      <c r="C10" s="31"/>
      <c r="E10" s="27"/>
      <c r="F10" s="27"/>
      <c r="G10" s="27"/>
    </row>
    <row r="11" spans="2:9" ht="15.75" thickBot="1" x14ac:dyDescent="0.3">
      <c r="B11" s="29" t="str">
        <f ca="1">Config!E9</f>
        <v>España</v>
      </c>
      <c r="C11" s="32"/>
      <c r="E11" s="136" t="s">
        <v>231</v>
      </c>
      <c r="F11" s="136"/>
      <c r="G11" s="136"/>
    </row>
    <row r="12" spans="2:9" ht="15.75" thickTop="1" x14ac:dyDescent="0.25">
      <c r="B12" s="24" t="str">
        <f ca="1">Config!E10</f>
        <v>Francia</v>
      </c>
      <c r="C12" s="31"/>
      <c r="E12" s="134" t="str">
        <f ca="1">Traduccion!B37</f>
        <v>Una tarjeta amarilla</v>
      </c>
      <c r="F12" s="135"/>
      <c r="G12" s="30" t="s">
        <v>232</v>
      </c>
    </row>
    <row r="13" spans="2:9" ht="15" customHeight="1" x14ac:dyDescent="0.25">
      <c r="B13" s="24" t="str">
        <f ca="1">Config!E11</f>
        <v>Australia</v>
      </c>
      <c r="C13" s="31"/>
      <c r="E13" s="134" t="str">
        <f ca="1">Traduccion!B38</f>
        <v>Dos tarjetas amarillas</v>
      </c>
      <c r="F13" s="135"/>
      <c r="G13" s="30" t="s">
        <v>233</v>
      </c>
    </row>
    <row r="14" spans="2:9" ht="15" customHeight="1" x14ac:dyDescent="0.25">
      <c r="B14" s="24" t="str">
        <f ca="1">Config!E12</f>
        <v>Perú</v>
      </c>
      <c r="C14" s="31"/>
      <c r="E14" s="134" t="str">
        <f ca="1">Traduccion!B39</f>
        <v>Tarjeta roja directa</v>
      </c>
      <c r="F14" s="135"/>
      <c r="G14" s="30" t="s">
        <v>234</v>
      </c>
    </row>
    <row r="15" spans="2:9" ht="15.75" customHeight="1" thickBot="1" x14ac:dyDescent="0.3">
      <c r="B15" s="29" t="str">
        <f ca="1">Config!E13</f>
        <v>Dinamarca</v>
      </c>
      <c r="C15" s="32"/>
      <c r="E15" s="134" t="str">
        <f ca="1">Traduccion!B40</f>
        <v>Tarjeta amarilla y roja directa</v>
      </c>
      <c r="F15" s="135"/>
      <c r="G15" s="30" t="s">
        <v>235</v>
      </c>
    </row>
    <row r="16" spans="2:9" ht="15.75" thickTop="1" x14ac:dyDescent="0.25">
      <c r="B16" s="24" t="str">
        <f ca="1">Config!E14</f>
        <v>Argentina</v>
      </c>
      <c r="C16" s="31"/>
      <c r="E16" s="27"/>
      <c r="F16" s="27"/>
      <c r="G16" s="27"/>
    </row>
    <row r="17" spans="2:7" x14ac:dyDescent="0.25">
      <c r="B17" s="24" t="str">
        <f ca="1">Config!E15</f>
        <v>Islandia</v>
      </c>
      <c r="C17" s="31"/>
      <c r="E17" s="27"/>
      <c r="F17" s="27"/>
      <c r="G17" s="27"/>
    </row>
    <row r="18" spans="2:7" x14ac:dyDescent="0.25">
      <c r="B18" s="24" t="str">
        <f ca="1">Config!E16</f>
        <v>Croacia</v>
      </c>
      <c r="C18" s="31"/>
      <c r="E18" s="27"/>
      <c r="F18" s="27"/>
      <c r="G18" s="27"/>
    </row>
    <row r="19" spans="2:7" ht="15.75" thickBot="1" x14ac:dyDescent="0.3">
      <c r="B19" s="29" t="str">
        <f ca="1">Config!E17</f>
        <v>Nigeria</v>
      </c>
      <c r="C19" s="32"/>
      <c r="E19" s="27"/>
      <c r="F19" s="27"/>
      <c r="G19" s="27"/>
    </row>
    <row r="20" spans="2:7" ht="15.75" thickTop="1" x14ac:dyDescent="0.25">
      <c r="B20" s="24" t="str">
        <f ca="1">Config!E18</f>
        <v>Costa Rica</v>
      </c>
      <c r="C20" s="31"/>
      <c r="E20" s="27"/>
      <c r="F20" s="27"/>
      <c r="G20" s="27"/>
    </row>
    <row r="21" spans="2:7" x14ac:dyDescent="0.25">
      <c r="B21" s="24" t="str">
        <f ca="1">Config!E19</f>
        <v>Serbia</v>
      </c>
      <c r="C21" s="31"/>
    </row>
    <row r="22" spans="2:7" x14ac:dyDescent="0.25">
      <c r="B22" s="24" t="str">
        <f ca="1">Config!E20</f>
        <v>Brasil</v>
      </c>
      <c r="C22" s="31"/>
    </row>
    <row r="23" spans="2:7" ht="15.75" thickBot="1" x14ac:dyDescent="0.3">
      <c r="B23" s="29" t="str">
        <f ca="1">Config!E21</f>
        <v>Suiza</v>
      </c>
      <c r="C23" s="32"/>
    </row>
    <row r="24" spans="2:7" ht="15.75" thickTop="1" x14ac:dyDescent="0.25">
      <c r="B24" s="24" t="str">
        <f ca="1">Config!E22</f>
        <v>Alemania</v>
      </c>
      <c r="C24" s="31"/>
    </row>
    <row r="25" spans="2:7" x14ac:dyDescent="0.25">
      <c r="B25" s="24" t="str">
        <f ca="1">Config!E23</f>
        <v>México</v>
      </c>
      <c r="C25" s="31"/>
    </row>
    <row r="26" spans="2:7" x14ac:dyDescent="0.25">
      <c r="B26" s="24" t="str">
        <f ca="1">Config!E24</f>
        <v>Suecia</v>
      </c>
      <c r="C26" s="31"/>
    </row>
    <row r="27" spans="2:7" ht="15.75" thickBot="1" x14ac:dyDescent="0.3">
      <c r="B27" s="29" t="str">
        <f ca="1">Config!E25</f>
        <v>Corea del Sur</v>
      </c>
      <c r="C27" s="32"/>
    </row>
    <row r="28" spans="2:7" ht="15.75" thickTop="1" x14ac:dyDescent="0.25">
      <c r="B28" s="24" t="str">
        <f ca="1">Config!E26</f>
        <v>Bélgica</v>
      </c>
      <c r="C28" s="31"/>
    </row>
    <row r="29" spans="2:7" x14ac:dyDescent="0.25">
      <c r="B29" s="24" t="str">
        <f ca="1">Config!E27</f>
        <v>Panamá</v>
      </c>
      <c r="C29" s="31"/>
    </row>
    <row r="30" spans="2:7" x14ac:dyDescent="0.25">
      <c r="B30" s="24" t="str">
        <f ca="1">Config!E28</f>
        <v>Túnez</v>
      </c>
      <c r="C30" s="31"/>
    </row>
    <row r="31" spans="2:7" ht="15.75" thickBot="1" x14ac:dyDescent="0.3">
      <c r="B31" s="29" t="str">
        <f ca="1">Config!E29</f>
        <v>Inglaterra</v>
      </c>
      <c r="C31" s="32"/>
    </row>
    <row r="32" spans="2:7" ht="15.75" thickTop="1" x14ac:dyDescent="0.25">
      <c r="B32" s="24" t="str">
        <f ca="1">Config!E30</f>
        <v>Colombia</v>
      </c>
      <c r="C32" s="31">
        <v>-7</v>
      </c>
    </row>
    <row r="33" spans="2:3" x14ac:dyDescent="0.25">
      <c r="B33" s="24" t="str">
        <f ca="1">Config!E31</f>
        <v>Japón</v>
      </c>
      <c r="C33" s="31">
        <v>-4</v>
      </c>
    </row>
    <row r="34" spans="2:3" x14ac:dyDescent="0.25">
      <c r="B34" s="24" t="str">
        <f ca="1">Config!E32</f>
        <v>Polonia</v>
      </c>
      <c r="C34" s="31">
        <v>-3</v>
      </c>
    </row>
    <row r="35" spans="2:3" ht="15.75" thickBot="1" x14ac:dyDescent="0.3">
      <c r="B35" s="29" t="str">
        <f ca="1">Config!E33</f>
        <v>Senegal</v>
      </c>
      <c r="C35" s="32">
        <v>-6</v>
      </c>
    </row>
    <row r="36" spans="2:3" ht="15.75" thickTop="1" x14ac:dyDescent="0.25"/>
  </sheetData>
  <sheetProtection sheet="1" objects="1" scenarios="1"/>
  <mergeCells count="8">
    <mergeCell ref="E13:F13"/>
    <mergeCell ref="E14:F14"/>
    <mergeCell ref="E15:F15"/>
    <mergeCell ref="E5:G5"/>
    <mergeCell ref="E3:G3"/>
    <mergeCell ref="E6:G9"/>
    <mergeCell ref="E11:G11"/>
    <mergeCell ref="E12:F12"/>
  </mergeCells>
  <hyperlinks>
    <hyperlink ref="E3:G3" location="FaseGrupos!A1" display="Volver"/>
  </hyperlinks>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BD34"/>
  <sheetViews>
    <sheetView showGridLines="0" showRowColHeaders="0" topLeftCell="O1" workbookViewId="0">
      <selection activeCell="P22" sqref="P22:S22"/>
    </sheetView>
  </sheetViews>
  <sheetFormatPr baseColWidth="10" defaultColWidth="0" defaultRowHeight="15.75" zeroHeight="1" x14ac:dyDescent="0.25"/>
  <cols>
    <col min="1" max="1" width="2.85546875" style="92" hidden="1" customWidth="1"/>
    <col min="2" max="12" width="11.42578125" style="41" hidden="1" customWidth="1"/>
    <col min="13" max="13" width="1.42578125" style="41" hidden="1" customWidth="1"/>
    <col min="14" max="14" width="11.42578125" style="41" hidden="1" customWidth="1"/>
    <col min="15" max="15" width="3.28515625" style="41" customWidth="1"/>
    <col min="16" max="16" width="14.42578125" style="101" bestFit="1" customWidth="1"/>
    <col min="17" max="18" width="3.28515625" style="41" customWidth="1"/>
    <col min="19" max="19" width="14.42578125" style="101" bestFit="1" customWidth="1"/>
    <col min="20" max="20" width="3.28515625" style="41" customWidth="1"/>
    <col min="21" max="24" width="11.42578125" style="41" hidden="1" customWidth="1"/>
    <col min="25" max="25" width="3.5703125" style="41" customWidth="1"/>
    <col min="26" max="26" width="24.85546875" style="41" bestFit="1" customWidth="1"/>
    <col min="27" max="27" width="17.7109375" style="41" bestFit="1" customWidth="1"/>
    <col min="28" max="28" width="3.5703125" style="41" customWidth="1"/>
    <col min="29" max="29" width="14.42578125" style="41" customWidth="1"/>
    <col min="30" max="30" width="4.28515625" style="101" customWidth="1"/>
    <col min="31" max="32" width="2.140625" style="41" customWidth="1"/>
    <col min="33" max="33" width="14.42578125" style="41" customWidth="1"/>
    <col min="34" max="34" width="4.28515625" style="101" customWidth="1"/>
    <col min="35" max="36" width="2.140625" style="41" customWidth="1"/>
    <col min="37" max="37" width="14.42578125" style="41" customWidth="1"/>
    <col min="38" max="38" width="4.28515625" style="101" customWidth="1"/>
    <col min="39" max="39" width="2.140625" style="91" customWidth="1"/>
    <col min="40" max="40" width="2.140625" style="41" customWidth="1"/>
    <col min="41" max="41" width="4.28515625" style="101" customWidth="1"/>
    <col min="42" max="42" width="14.42578125" style="41" customWidth="1"/>
    <col min="43" max="43" width="4.28515625" style="101" customWidth="1"/>
    <col min="44" max="44" width="2.140625" style="91" customWidth="1"/>
    <col min="45" max="45" width="2.140625" style="41" customWidth="1"/>
    <col min="46" max="46" width="4.28515625" style="101" customWidth="1"/>
    <col min="47" max="47" width="14.42578125" style="41" customWidth="1"/>
    <col min="48" max="49" width="2.140625" style="41" customWidth="1"/>
    <col min="50" max="50" width="4.28515625" style="101" customWidth="1"/>
    <col min="51" max="51" width="14.42578125" style="41" customWidth="1"/>
    <col min="52" max="53" width="2.140625" style="41" customWidth="1"/>
    <col min="54" max="54" width="4.28515625" style="101" customWidth="1"/>
    <col min="55" max="55" width="14.42578125" style="41" customWidth="1"/>
    <col min="56" max="56" width="11.42578125" style="41" customWidth="1"/>
    <col min="57" max="16384" width="11.42578125" style="41" hidden="1"/>
  </cols>
  <sheetData>
    <row r="1" spans="1:55" ht="109.5" customHeight="1" x14ac:dyDescent="0.25"/>
    <row r="2" spans="1:55" ht="7.5" customHeight="1" x14ac:dyDescent="0.25"/>
    <row r="3" spans="1:55" ht="23.25" x14ac:dyDescent="0.35">
      <c r="P3" s="93" t="str">
        <f ca="1">Traduccion!B19</f>
        <v>Fase Final</v>
      </c>
    </row>
    <row r="4" spans="1:55" x14ac:dyDescent="0.25"/>
    <row r="5" spans="1:55" x14ac:dyDescent="0.25">
      <c r="H5" s="41" t="s">
        <v>52</v>
      </c>
      <c r="I5" s="41" t="s">
        <v>53</v>
      </c>
      <c r="J5" s="41" t="s">
        <v>54</v>
      </c>
      <c r="K5" s="41" t="s">
        <v>55</v>
      </c>
      <c r="L5" s="41" t="s">
        <v>131</v>
      </c>
      <c r="M5" s="41" t="s">
        <v>132</v>
      </c>
      <c r="P5" s="150" t="str">
        <f ca="1">Traduccion!B52</f>
        <v>Octavos de final</v>
      </c>
      <c r="Q5" s="151"/>
      <c r="R5" s="151"/>
      <c r="S5" s="151"/>
      <c r="U5" s="41" t="s">
        <v>55</v>
      </c>
      <c r="Z5" s="96" t="str">
        <f ca="1">Traduccion!B14</f>
        <v>Estadio</v>
      </c>
      <c r="AA5" s="96" t="str">
        <f ca="1">Traduccion!B15</f>
        <v>Horario</v>
      </c>
      <c r="AC5" s="139" t="str">
        <f ca="1">P5</f>
        <v>Octavos de final</v>
      </c>
      <c r="AD5" s="140"/>
      <c r="AE5" s="54"/>
      <c r="AF5" s="54"/>
      <c r="AG5" s="139" t="str">
        <f ca="1">P14</f>
        <v>Cuartos de final</v>
      </c>
      <c r="AH5" s="140"/>
      <c r="AI5" s="54"/>
      <c r="AJ5" s="54"/>
      <c r="AK5" s="139" t="str">
        <f ca="1">P19</f>
        <v>Semifinales</v>
      </c>
      <c r="AL5" s="140"/>
      <c r="AM5" s="55"/>
      <c r="AN5" s="54"/>
      <c r="AO5" s="56"/>
      <c r="AP5" s="54"/>
      <c r="AQ5" s="56"/>
      <c r="AR5" s="57"/>
      <c r="AS5" s="54"/>
      <c r="AT5" s="139" t="str">
        <f ca="1">P19</f>
        <v>Semifinales</v>
      </c>
      <c r="AU5" s="140"/>
      <c r="AV5" s="54"/>
      <c r="AW5" s="54"/>
      <c r="AX5" s="139" t="str">
        <f ca="1">P14</f>
        <v>Cuartos de final</v>
      </c>
      <c r="AY5" s="140"/>
      <c r="AZ5" s="54"/>
      <c r="BA5" s="54"/>
      <c r="BB5" s="139" t="str">
        <f ca="1">P5</f>
        <v>Octavos de final</v>
      </c>
      <c r="BC5" s="140"/>
    </row>
    <row r="6" spans="1:55" x14ac:dyDescent="0.25">
      <c r="A6" s="92" t="s">
        <v>65</v>
      </c>
      <c r="B6" s="41" t="s">
        <v>83</v>
      </c>
      <c r="C6" s="41" t="s">
        <v>84</v>
      </c>
      <c r="D6" s="41">
        <v>65</v>
      </c>
      <c r="E6" s="41">
        <f ca="1">OFFSET(ConfigParejas!$A$1,FaseGrupos!I6,2*LOOKUP(FaseGrupos!D6,Config!$V$14:$V$27,Config!$W$14:$W$27)-1)</f>
        <v>1</v>
      </c>
      <c r="F6" s="41">
        <f ca="1">OFFSET(ConfigParejas!$A$1,FaseGrupos!I6,2*LOOKUP(FaseGrupos!D6,Config!$V$14:$V$27,Config!$W$14:$W$27))</f>
        <v>2</v>
      </c>
      <c r="H6" s="94">
        <f>IF(A6="G",ROUND((COUNTIF($D$6:D6,D6))/2,0),ROUND((COUNTIF($A$6:A6,A6)/INDEX(Config!$X$2:$AA$11,MATCH(A6,config_abreviaturas,0),1)),0))</f>
        <v>1</v>
      </c>
      <c r="I6" s="41">
        <f>COUNTIF($D$6:D6,D6)</f>
        <v>1</v>
      </c>
      <c r="J6" s="41">
        <f>IF(OR(ISBLANK(Q6),ISBLANK(R6)),0,1)</f>
        <v>1</v>
      </c>
      <c r="K6" s="41">
        <f t="shared" ref="K6:K13" si="0">IF(J6=0,"",(IF(Q6+O6&gt;R6+T6,1,IF(Q6+O6=R6+T6,0.5,0))))</f>
        <v>1</v>
      </c>
      <c r="L6" s="41">
        <f ca="1" xml:space="preserve"> IF(OR(P6=Equipos!$G$5,S6=Equipos!$G$5),1+COUNTIF($L$5:L5,"&gt;=1"),0)</f>
        <v>0</v>
      </c>
      <c r="M6" s="41">
        <f xml:space="preserve"> IF(Z6=Sedes!$G$3,1+COUNTIF($M$5:M5,"&gt;=1"),0)</f>
        <v>0</v>
      </c>
      <c r="O6" s="95"/>
      <c r="P6" s="101" t="str">
        <f ca="1">INDEX(Config!$AH$2:$AH$17,MATCH(FaseFinal!B6,Config!$AD$2:$AD$17,0))</f>
        <v>Uruguay</v>
      </c>
      <c r="Q6" s="95">
        <v>2</v>
      </c>
      <c r="R6" s="95">
        <v>1</v>
      </c>
      <c r="S6" s="101" t="str">
        <f ca="1">INDEX(Config!$AH$2:$AH$17,MATCH(FaseFinal!C6,Config!$AD$2:$AD$17,0))</f>
        <v>Portugal</v>
      </c>
      <c r="T6" s="95"/>
      <c r="U6" s="41">
        <f t="shared" ref="U6:U13" si="1">IF(J6=0,"",(IF(Q6+O6&lt;R6+T6,1,IF(Q6+O6=R6+T6,0.5,0))))</f>
        <v>0</v>
      </c>
      <c r="V6" s="41">
        <f ca="1">IF(NOW()&gt;=AA6,AA6,1/1/1970)</f>
        <v>43281.833333333336</v>
      </c>
      <c r="W6" s="41">
        <f ca="1">V6+COUNTIF($V$6:V6,V6)+2*ROW()</f>
        <v>43294.833333333336</v>
      </c>
      <c r="X6" s="41">
        <f ca="1">_xlfn.RANK.EQ(W6,$W$6:$W$53,1)</f>
        <v>1</v>
      </c>
      <c r="Z6" s="58" t="s">
        <v>153</v>
      </c>
      <c r="AA6" s="59">
        <f>ConfigHorarios!A50</f>
        <v>43281.833333333336</v>
      </c>
      <c r="AC6" s="54"/>
      <c r="AD6" s="56"/>
      <c r="AE6" s="54"/>
      <c r="AF6" s="54"/>
      <c r="AG6" s="54"/>
      <c r="AH6" s="56"/>
      <c r="AI6" s="54"/>
      <c r="AJ6" s="54"/>
      <c r="AK6" s="54"/>
      <c r="AL6" s="56"/>
      <c r="AM6" s="57"/>
      <c r="AN6" s="54"/>
      <c r="AO6" s="56"/>
      <c r="AP6" s="54"/>
      <c r="AQ6" s="56"/>
      <c r="AR6" s="57"/>
      <c r="AS6" s="54"/>
      <c r="AT6" s="56"/>
      <c r="AU6" s="54"/>
      <c r="AV6" s="54"/>
      <c r="AW6" s="54"/>
      <c r="AX6" s="56"/>
      <c r="AY6" s="54"/>
      <c r="AZ6" s="54"/>
      <c r="BA6" s="54"/>
      <c r="BB6" s="56"/>
      <c r="BC6" s="54"/>
    </row>
    <row r="7" spans="1:55" x14ac:dyDescent="0.25">
      <c r="A7" s="92" t="s">
        <v>65</v>
      </c>
      <c r="B7" s="41" t="s">
        <v>88</v>
      </c>
      <c r="C7" s="41" t="s">
        <v>85</v>
      </c>
      <c r="J7" s="41">
        <f t="shared" ref="J7:J25" si="2">IF(OR(ISBLANK(Q7),ISBLANK(R7)),0,1)</f>
        <v>1</v>
      </c>
      <c r="K7" s="41">
        <f t="shared" si="0"/>
        <v>1</v>
      </c>
      <c r="L7" s="41">
        <f ca="1" xml:space="preserve"> IF(OR(P7=Equipos!$G$5,S7=Equipos!$G$5),1+COUNTIF($L$5:L6,"&gt;=1"),0)</f>
        <v>1</v>
      </c>
      <c r="M7" s="41">
        <f xml:space="preserve"> IF(Z7=Sedes!$G$3,1+COUNTIF($M$5:M6,"&gt;=1"),0)</f>
        <v>0</v>
      </c>
      <c r="O7" s="95"/>
      <c r="P7" s="101" t="str">
        <f ca="1">INDEX(Config!$AH$2:$AH$17,MATCH(FaseFinal!B7,Config!$AD$2:$AD$17,0))</f>
        <v>Francia</v>
      </c>
      <c r="Q7" s="95">
        <v>4</v>
      </c>
      <c r="R7" s="95">
        <v>3</v>
      </c>
      <c r="S7" s="101" t="str">
        <f ca="1">INDEX(Config!$AH$2:$AH$17,MATCH(FaseFinal!C7,Config!$AD$2:$AD$17,0))</f>
        <v>Argentina</v>
      </c>
      <c r="T7" s="95"/>
      <c r="U7" s="41">
        <f t="shared" si="1"/>
        <v>0</v>
      </c>
      <c r="V7" s="41">
        <f t="shared" ref="V7:V25" ca="1" si="3">IF(NOW()&gt;=AA7,AA7,1/1/1970)</f>
        <v>43281.666666666664</v>
      </c>
      <c r="W7" s="41">
        <f ca="1">V7+COUNTIF($V$6:V7,V7)+2*ROW()</f>
        <v>43296.666666666664</v>
      </c>
      <c r="X7" s="41">
        <f t="shared" ref="X7:X25" ca="1" si="4">_xlfn.RANK.EQ(W7,$W$6:$W$53,1)</f>
        <v>2</v>
      </c>
      <c r="Z7" s="58" t="s">
        <v>149</v>
      </c>
      <c r="AA7" s="59">
        <f>ConfigHorarios!A51</f>
        <v>43281.666666666664</v>
      </c>
      <c r="AC7" s="54"/>
      <c r="AD7" s="56"/>
      <c r="AE7" s="54"/>
      <c r="AF7" s="54"/>
      <c r="AG7" s="54"/>
      <c r="AH7" s="56"/>
      <c r="AI7" s="54"/>
      <c r="AJ7" s="54"/>
      <c r="AK7" s="54"/>
      <c r="AL7" s="56"/>
      <c r="AM7" s="57"/>
      <c r="AN7" s="54"/>
      <c r="AO7" s="56"/>
      <c r="AP7" s="54"/>
      <c r="AQ7" s="56"/>
      <c r="AR7" s="57"/>
      <c r="AS7" s="54"/>
      <c r="AT7" s="56"/>
      <c r="AU7" s="54"/>
      <c r="AV7" s="54"/>
      <c r="AW7" s="54"/>
      <c r="AX7" s="56"/>
      <c r="AY7" s="54"/>
      <c r="AZ7" s="54"/>
      <c r="BA7" s="54"/>
      <c r="BB7" s="56"/>
      <c r="BC7" s="54"/>
    </row>
    <row r="8" spans="1:55" ht="16.5" thickBot="1" x14ac:dyDescent="0.3">
      <c r="A8" s="92" t="s">
        <v>65</v>
      </c>
      <c r="B8" s="41" t="s">
        <v>89</v>
      </c>
      <c r="C8" s="41" t="s">
        <v>86</v>
      </c>
      <c r="J8" s="41">
        <f t="shared" si="2"/>
        <v>1</v>
      </c>
      <c r="K8" s="41">
        <f t="shared" si="0"/>
        <v>1</v>
      </c>
      <c r="L8" s="41">
        <f ca="1" xml:space="preserve"> IF(OR(P8=Equipos!$G$5,S8=Equipos!$G$5),1+COUNTIF($L$5:L7,"&gt;=1"),0)</f>
        <v>0</v>
      </c>
      <c r="M8" s="41">
        <f xml:space="preserve"> IF(Z8=Sedes!$G$3,1+COUNTIF($M$5:M7,"&gt;=1"),0)</f>
        <v>0</v>
      </c>
      <c r="O8" s="95"/>
      <c r="P8" s="101" t="str">
        <f ca="1">INDEX(Config!$AH$2:$AH$17,MATCH(FaseFinal!B8,Config!$AD$2:$AD$17,0))</f>
        <v>Brasil</v>
      </c>
      <c r="Q8" s="95">
        <v>2</v>
      </c>
      <c r="R8" s="95">
        <v>0</v>
      </c>
      <c r="S8" s="101" t="str">
        <f ca="1">INDEX(Config!$AH$2:$AH$17,MATCH(FaseFinal!C8,Config!$AD$2:$AD$17,0))</f>
        <v>México</v>
      </c>
      <c r="T8" s="95"/>
      <c r="U8" s="41">
        <f t="shared" si="1"/>
        <v>0</v>
      </c>
      <c r="V8" s="41">
        <f t="shared" ca="1" si="3"/>
        <v>43283.666666666664</v>
      </c>
      <c r="W8" s="41">
        <f ca="1">V8+COUNTIF($V$6:V8,V8)+2*ROW()</f>
        <v>43300.666666666664</v>
      </c>
      <c r="X8" s="41">
        <f t="shared" ca="1" si="4"/>
        <v>3</v>
      </c>
      <c r="Z8" s="58" t="s">
        <v>165</v>
      </c>
      <c r="AA8" s="59">
        <f>ConfigHorarios!A52</f>
        <v>43283.666666666664</v>
      </c>
      <c r="AC8" s="54"/>
      <c r="AD8" s="56"/>
      <c r="AE8" s="54"/>
      <c r="AF8" s="54"/>
      <c r="AG8" s="54"/>
      <c r="AH8" s="56"/>
      <c r="AI8" s="54"/>
      <c r="AJ8" s="54"/>
      <c r="AK8" s="54"/>
      <c r="AL8" s="56"/>
      <c r="AM8" s="57"/>
      <c r="AN8" s="54"/>
      <c r="AO8" s="56"/>
      <c r="AP8" s="54"/>
      <c r="AQ8" s="56"/>
      <c r="AR8" s="57"/>
      <c r="AS8" s="54"/>
      <c r="AT8" s="56"/>
      <c r="AU8" s="54"/>
      <c r="AV8" s="54"/>
      <c r="AW8" s="54"/>
      <c r="AX8" s="56"/>
      <c r="AY8" s="54"/>
      <c r="AZ8" s="54"/>
      <c r="BA8" s="54"/>
      <c r="BB8" s="56"/>
      <c r="BC8" s="54"/>
    </row>
    <row r="9" spans="1:55" x14ac:dyDescent="0.25">
      <c r="A9" s="92" t="s">
        <v>65</v>
      </c>
      <c r="B9" s="41" t="s">
        <v>90</v>
      </c>
      <c r="C9" s="41" t="s">
        <v>87</v>
      </c>
      <c r="J9" s="41">
        <f t="shared" si="2"/>
        <v>1</v>
      </c>
      <c r="K9" s="41">
        <f t="shared" si="0"/>
        <v>1</v>
      </c>
      <c r="L9" s="41">
        <f ca="1" xml:space="preserve"> IF(OR(P9=Equipos!$G$5,S9=Equipos!$G$5),1+COUNTIF($L$5:L8,"&gt;=1"),0)</f>
        <v>0</v>
      </c>
      <c r="M9" s="41">
        <f xml:space="preserve"> IF(Z9=Sedes!$G$3,1+COUNTIF($M$5:M8,"&gt;=1"),0)</f>
        <v>0</v>
      </c>
      <c r="O9" s="95"/>
      <c r="P9" s="101" t="str">
        <f ca="1">INDEX(Config!$AH$2:$AH$17,MATCH(FaseFinal!B9,Config!$AD$2:$AD$17,0))</f>
        <v>Bélgica</v>
      </c>
      <c r="Q9" s="95">
        <v>3</v>
      </c>
      <c r="R9" s="95">
        <v>2</v>
      </c>
      <c r="S9" s="101" t="str">
        <f ca="1">INDEX(Config!$AH$2:$AH$17,MATCH(FaseFinal!C9,Config!$AD$2:$AD$17,0))</f>
        <v>Japón</v>
      </c>
      <c r="T9" s="95"/>
      <c r="U9" s="41">
        <f t="shared" si="1"/>
        <v>0</v>
      </c>
      <c r="V9" s="41">
        <f t="shared" ca="1" si="3"/>
        <v>43283.833333333336</v>
      </c>
      <c r="W9" s="41">
        <f ca="1">V9+COUNTIF($V$6:V9,V9)+2*ROW()</f>
        <v>43302.833333333336</v>
      </c>
      <c r="X9" s="41">
        <f t="shared" ca="1" si="4"/>
        <v>4</v>
      </c>
      <c r="Z9" s="58" t="s">
        <v>146</v>
      </c>
      <c r="AA9" s="59">
        <f>ConfigHorarios!A53</f>
        <v>43283.833333333336</v>
      </c>
      <c r="AC9" s="60" t="str">
        <f ca="1">P6</f>
        <v>Uruguay</v>
      </c>
      <c r="AD9" s="61" t="str">
        <f>Q6 &amp; IF(ISBLANK(R6),"",IF(Q6=R6,"(" &amp; O6 &amp; ")",""))</f>
        <v>2</v>
      </c>
      <c r="AE9" s="62"/>
      <c r="AF9" s="54"/>
      <c r="AG9" s="54"/>
      <c r="AH9" s="56"/>
      <c r="AI9" s="54"/>
      <c r="AJ9" s="54"/>
      <c r="AK9" s="54"/>
      <c r="AL9" s="56"/>
      <c r="AM9" s="57"/>
      <c r="AN9" s="54"/>
      <c r="AO9" s="56"/>
      <c r="AP9" s="54"/>
      <c r="AQ9" s="56"/>
      <c r="AR9" s="57"/>
      <c r="AS9" s="54"/>
      <c r="AT9" s="56"/>
      <c r="AU9" s="54"/>
      <c r="AV9" s="54"/>
      <c r="AW9" s="54"/>
      <c r="AX9" s="56"/>
      <c r="AY9" s="54"/>
      <c r="AZ9" s="54"/>
      <c r="BA9" s="62"/>
      <c r="BB9" s="63" t="str">
        <f>Q10 &amp; IF(ISBLANK(R10),"",IF(Q10=R10,"(" &amp; O10 &amp; ")",""))</f>
        <v>1(3)</v>
      </c>
      <c r="BC9" s="64" t="str">
        <f ca="1">P10</f>
        <v>España</v>
      </c>
    </row>
    <row r="10" spans="1:55" ht="16.5" thickBot="1" x14ac:dyDescent="0.3">
      <c r="A10" s="92" t="s">
        <v>65</v>
      </c>
      <c r="B10" s="41" t="s">
        <v>91</v>
      </c>
      <c r="C10" s="41" t="s">
        <v>92</v>
      </c>
      <c r="J10" s="41">
        <f t="shared" si="2"/>
        <v>1</v>
      </c>
      <c r="K10" s="41">
        <f t="shared" si="0"/>
        <v>0</v>
      </c>
      <c r="L10" s="41">
        <f ca="1" xml:space="preserve"> IF(OR(P10=Equipos!$G$5,S10=Equipos!$G$5),1+COUNTIF($L$5:L9,"&gt;=1"),0)</f>
        <v>0</v>
      </c>
      <c r="M10" s="41">
        <f xml:space="preserve"> IF(Z10=Sedes!$G$3,1+COUNTIF($M$5:M9,"&gt;=1"),0)</f>
        <v>0</v>
      </c>
      <c r="O10" s="95">
        <v>3</v>
      </c>
      <c r="P10" s="101" t="str">
        <f ca="1">INDEX(Config!$AH$2:$AH$17,MATCH(FaseFinal!B10,Config!$AD$2:$AD$17,0))</f>
        <v>España</v>
      </c>
      <c r="Q10" s="95">
        <v>1</v>
      </c>
      <c r="R10" s="95">
        <v>1</v>
      </c>
      <c r="S10" s="101" t="str">
        <f ca="1">INDEX(Config!$AH$2:$AH$17,MATCH(FaseFinal!C10,Config!$AD$2:$AD$17,0))</f>
        <v>Rusia</v>
      </c>
      <c r="T10" s="95">
        <v>4</v>
      </c>
      <c r="U10" s="41">
        <f t="shared" si="1"/>
        <v>1</v>
      </c>
      <c r="V10" s="41">
        <f t="shared" ca="1" si="3"/>
        <v>43282.666666666664</v>
      </c>
      <c r="W10" s="41">
        <f ca="1">V10+COUNTIF($V$6:V10,V10)+2*ROW()</f>
        <v>43303.666666666664</v>
      </c>
      <c r="X10" s="41">
        <f t="shared" ca="1" si="4"/>
        <v>5</v>
      </c>
      <c r="Z10" s="58" t="s">
        <v>152</v>
      </c>
      <c r="AA10" s="59">
        <f>ConfigHorarios!A54</f>
        <v>43282.666666666664</v>
      </c>
      <c r="AC10" s="65" t="str">
        <f ca="1">S6</f>
        <v>Portugal</v>
      </c>
      <c r="AD10" s="66" t="str">
        <f>R6 &amp; IF(ISBLANK(R6),"",IF(Q6=R6,"(" &amp; T6 &amp; ")",""))</f>
        <v>1</v>
      </c>
      <c r="AE10" s="67"/>
      <c r="AF10" s="54"/>
      <c r="AG10" s="54"/>
      <c r="AH10" s="56"/>
      <c r="AI10" s="54"/>
      <c r="AJ10" s="54"/>
      <c r="AK10" s="54"/>
      <c r="AL10" s="56"/>
      <c r="AM10" s="57"/>
      <c r="AN10" s="54"/>
      <c r="AO10" s="56"/>
      <c r="AP10" s="54"/>
      <c r="AQ10" s="56"/>
      <c r="AR10" s="57"/>
      <c r="AS10" s="54"/>
      <c r="AT10" s="56"/>
      <c r="AU10" s="54"/>
      <c r="AV10" s="54"/>
      <c r="AW10" s="54"/>
      <c r="AX10" s="56"/>
      <c r="AY10" s="54"/>
      <c r="AZ10" s="54"/>
      <c r="BA10" s="68"/>
      <c r="BB10" s="69" t="str">
        <f>R10 &amp; IF(ISBLANK(R10),"",IF(Q10=R10,"(" &amp; T10 &amp; ")",""))</f>
        <v>1(4)</v>
      </c>
      <c r="BC10" s="70" t="str">
        <f ca="1">S10</f>
        <v>Rusia</v>
      </c>
    </row>
    <row r="11" spans="1:55" ht="16.5" thickBot="1" x14ac:dyDescent="0.3">
      <c r="A11" s="92" t="s">
        <v>65</v>
      </c>
      <c r="B11" s="41" t="s">
        <v>93</v>
      </c>
      <c r="C11" s="41" t="s">
        <v>94</v>
      </c>
      <c r="J11" s="41">
        <f t="shared" si="2"/>
        <v>1</v>
      </c>
      <c r="K11" s="41">
        <f t="shared" si="0"/>
        <v>1</v>
      </c>
      <c r="L11" s="41">
        <f ca="1" xml:space="preserve"> IF(OR(P11=Equipos!$G$5,S11=Equipos!$G$5),1+COUNTIF($L$5:L10,"&gt;=1"),0)</f>
        <v>0</v>
      </c>
      <c r="M11" s="41">
        <f xml:space="preserve"> IF(Z11=Sedes!$G$3,1+COUNTIF($M$5:M10,"&gt;=1"),0)</f>
        <v>0</v>
      </c>
      <c r="O11" s="95">
        <v>3</v>
      </c>
      <c r="P11" s="101" t="str">
        <f ca="1">INDEX(Config!$AH$2:$AH$17,MATCH(FaseFinal!B11,Config!$AD$2:$AD$17,0))</f>
        <v>Croacia</v>
      </c>
      <c r="Q11" s="95">
        <v>1</v>
      </c>
      <c r="R11" s="95">
        <v>1</v>
      </c>
      <c r="S11" s="101" t="str">
        <f ca="1">INDEX(Config!$AH$2:$AH$17,MATCH(FaseFinal!C11,Config!$AD$2:$AD$17,0))</f>
        <v>Dinamarca</v>
      </c>
      <c r="T11" s="95">
        <v>2</v>
      </c>
      <c r="U11" s="41">
        <f t="shared" si="1"/>
        <v>0</v>
      </c>
      <c r="V11" s="41">
        <f t="shared" ca="1" si="3"/>
        <v>43282.833333333336</v>
      </c>
      <c r="W11" s="41">
        <f ca="1">V11+COUNTIF($V$6:V11,V11)+2*ROW()</f>
        <v>43305.833333333336</v>
      </c>
      <c r="X11" s="41">
        <f t="shared" ca="1" si="4"/>
        <v>6</v>
      </c>
      <c r="Z11" s="58" t="s">
        <v>150</v>
      </c>
      <c r="AA11" s="59">
        <f>ConfigHorarios!A55</f>
        <v>43282.833333333336</v>
      </c>
      <c r="AC11" s="54"/>
      <c r="AD11" s="56"/>
      <c r="AE11" s="71"/>
      <c r="AF11" s="72"/>
      <c r="AG11" s="60" t="str">
        <f ca="1">P15</f>
        <v>Uruguay</v>
      </c>
      <c r="AH11" s="61" t="str">
        <f>Q15 &amp; IF(ISBLANK(R15),"",IF(Q15=R15,"(" &amp; O15 &amp; ")",""))</f>
        <v>0</v>
      </c>
      <c r="AI11" s="62"/>
      <c r="AJ11" s="54"/>
      <c r="AK11" s="54"/>
      <c r="AL11" s="56"/>
      <c r="AM11" s="57"/>
      <c r="AN11" s="73"/>
      <c r="AO11" s="74" t="str">
        <f>Q25&amp;IF(ISBLANK(R25),"",IF(Q25=R25,"("&amp;O25&amp;")",""))</f>
        <v>4</v>
      </c>
      <c r="AP11" s="75" t="str">
        <f ca="1">P25</f>
        <v>Francia</v>
      </c>
      <c r="AQ11" s="56"/>
      <c r="AR11" s="76"/>
      <c r="AS11" s="54"/>
      <c r="AT11" s="56"/>
      <c r="AU11" s="54"/>
      <c r="AV11" s="54"/>
      <c r="AW11" s="62"/>
      <c r="AX11" s="63" t="str">
        <f>Q17 &amp; IF(ISBLANK(R17),"",IF(Q17=R17,"(" &amp; O17 &amp; ")",""))</f>
        <v>2(3)</v>
      </c>
      <c r="AY11" s="77" t="str">
        <f ca="1">P17</f>
        <v>Rusia</v>
      </c>
      <c r="AZ11" s="62"/>
      <c r="BA11" s="78"/>
      <c r="BB11" s="56"/>
      <c r="BC11" s="79"/>
    </row>
    <row r="12" spans="1:55" ht="16.5" thickBot="1" x14ac:dyDescent="0.3">
      <c r="A12" s="92" t="s">
        <v>65</v>
      </c>
      <c r="B12" s="41" t="s">
        <v>95</v>
      </c>
      <c r="C12" s="41" t="s">
        <v>96</v>
      </c>
      <c r="J12" s="41">
        <f t="shared" si="2"/>
        <v>1</v>
      </c>
      <c r="K12" s="41">
        <f t="shared" si="0"/>
        <v>1</v>
      </c>
      <c r="L12" s="41">
        <f ca="1" xml:space="preserve"> IF(OR(P12=Equipos!$G$5,S12=Equipos!$G$5),1+COUNTIF($L$5:L11,"&gt;=1"),0)</f>
        <v>0</v>
      </c>
      <c r="M12" s="41">
        <f xml:space="preserve"> IF(Z12=Sedes!$G$3,1+COUNTIF($M$5:M11,"&gt;=1"),0)</f>
        <v>1</v>
      </c>
      <c r="O12" s="95"/>
      <c r="P12" s="101" t="str">
        <f ca="1">INDEX(Config!$AH$2:$AH$17,MATCH(FaseFinal!B12,Config!$AD$2:$AD$17,0))</f>
        <v>Suecia</v>
      </c>
      <c r="Q12" s="95">
        <v>1</v>
      </c>
      <c r="R12" s="95">
        <v>0</v>
      </c>
      <c r="S12" s="101" t="str">
        <f ca="1">INDEX(Config!$AH$2:$AH$17,MATCH(FaseFinal!C12,Config!$AD$2:$AD$17,0))</f>
        <v>Suiza</v>
      </c>
      <c r="T12" s="95"/>
      <c r="U12" s="41">
        <f t="shared" si="1"/>
        <v>0</v>
      </c>
      <c r="V12" s="41">
        <f t="shared" ca="1" si="3"/>
        <v>43284.666666666664</v>
      </c>
      <c r="W12" s="41">
        <f ca="1">V12+COUNTIF($V$6:V12,V12)+2*ROW()</f>
        <v>43309.666666666664</v>
      </c>
      <c r="X12" s="41">
        <f t="shared" ca="1" si="4"/>
        <v>7</v>
      </c>
      <c r="Z12" s="58" t="s">
        <v>144</v>
      </c>
      <c r="AA12" s="59">
        <f>ConfigHorarios!A56</f>
        <v>43284.666666666664</v>
      </c>
      <c r="AC12" s="54"/>
      <c r="AD12" s="56"/>
      <c r="AE12" s="71"/>
      <c r="AF12" s="54"/>
      <c r="AG12" s="65" t="str">
        <f ca="1">S15</f>
        <v>Francia</v>
      </c>
      <c r="AH12" s="66" t="str">
        <f>R15 &amp; IF(ISBLANK(R15),"",IF(Q15=R15,"(" &amp; T15 &amp; ")",""))</f>
        <v>2</v>
      </c>
      <c r="AI12" s="67"/>
      <c r="AJ12" s="54"/>
      <c r="AK12" s="54"/>
      <c r="AL12" s="56"/>
      <c r="AM12" s="80"/>
      <c r="AN12" s="54"/>
      <c r="AO12" s="56"/>
      <c r="AP12" s="81" t="str">
        <f ca="1">S25</f>
        <v>Croacia</v>
      </c>
      <c r="AQ12" s="82" t="str">
        <f>R25&amp;IF(ISBLANK(R25),"",IF(Q25=R25,"("&amp;T25&amp;")",""))</f>
        <v>2</v>
      </c>
      <c r="AR12" s="83"/>
      <c r="AS12" s="78"/>
      <c r="AT12" s="56"/>
      <c r="AU12" s="54"/>
      <c r="AV12" s="54"/>
      <c r="AW12" s="68"/>
      <c r="AX12" s="69" t="str">
        <f>R17 &amp; IF(ISBLANK(R17),"",IF(Q17=R17,"(" &amp; T17 &amp; ")",""))</f>
        <v>2(4)</v>
      </c>
      <c r="AY12" s="84" t="str">
        <f ca="1">S17</f>
        <v>Croacia</v>
      </c>
      <c r="AZ12" s="54"/>
      <c r="BA12" s="78"/>
      <c r="BB12" s="56"/>
      <c r="BC12" s="79"/>
    </row>
    <row r="13" spans="1:55" ht="16.5" thickBot="1" x14ac:dyDescent="0.3">
      <c r="A13" s="92" t="s">
        <v>65</v>
      </c>
      <c r="B13" s="41" t="s">
        <v>97</v>
      </c>
      <c r="C13" s="41" t="s">
        <v>98</v>
      </c>
      <c r="J13" s="41">
        <f t="shared" si="2"/>
        <v>1</v>
      </c>
      <c r="K13" s="41">
        <f t="shared" si="0"/>
        <v>0</v>
      </c>
      <c r="L13" s="41">
        <f ca="1" xml:space="preserve"> IF(OR(P13=Equipos!$G$5,S13=Equipos!$G$5),1+COUNTIF($L$5:L12,"&gt;=1"),0)</f>
        <v>0</v>
      </c>
      <c r="M13" s="41">
        <f xml:space="preserve"> IF(Z13=Sedes!$G$3,1+COUNTIF($M$5:M12,"&gt;=1"),0)</f>
        <v>0</v>
      </c>
      <c r="O13" s="95">
        <v>3</v>
      </c>
      <c r="P13" s="101" t="str">
        <f ca="1">INDEX(Config!$AH$2:$AH$17,MATCH(FaseFinal!B13,Config!$AD$2:$AD$17,0))</f>
        <v>Colombia</v>
      </c>
      <c r="Q13" s="95">
        <v>1</v>
      </c>
      <c r="R13" s="95">
        <v>1</v>
      </c>
      <c r="S13" s="101" t="str">
        <f ca="1">INDEX(Config!$AH$2:$AH$17,MATCH(FaseFinal!C13,Config!$AD$2:$AD$17,0))</f>
        <v>Inglaterra</v>
      </c>
      <c r="T13" s="95">
        <v>4</v>
      </c>
      <c r="U13" s="41">
        <f t="shared" si="1"/>
        <v>1</v>
      </c>
      <c r="V13" s="41">
        <f t="shared" ca="1" si="3"/>
        <v>43284.833333333336</v>
      </c>
      <c r="W13" s="41">
        <f ca="1">V13+COUNTIF($V$6:V13,V13)+2*ROW()</f>
        <v>43311.833333333336</v>
      </c>
      <c r="X13" s="41">
        <f t="shared" ca="1" si="4"/>
        <v>8</v>
      </c>
      <c r="Z13" s="58" t="s">
        <v>143</v>
      </c>
      <c r="AA13" s="59">
        <f>ConfigHorarios!A57</f>
        <v>43284.833333333336</v>
      </c>
      <c r="AC13" s="60" t="str">
        <f ca="1">P7</f>
        <v>Francia</v>
      </c>
      <c r="AD13" s="61" t="str">
        <f>Q7 &amp; IF(ISBLANK(R7),"",IF(Q7=R7,"(" &amp; O7 &amp; ")",""))</f>
        <v>4</v>
      </c>
      <c r="AE13" s="85"/>
      <c r="AF13" s="54"/>
      <c r="AG13" s="54"/>
      <c r="AH13" s="56"/>
      <c r="AI13" s="71"/>
      <c r="AJ13" s="54"/>
      <c r="AK13" s="54"/>
      <c r="AL13" s="56"/>
      <c r="AM13" s="80"/>
      <c r="AN13" s="54"/>
      <c r="AO13" s="56"/>
      <c r="AP13" s="56"/>
      <c r="AQ13" s="56"/>
      <c r="AR13" s="57"/>
      <c r="AS13" s="78"/>
      <c r="AT13" s="56"/>
      <c r="AU13" s="54"/>
      <c r="AV13" s="54"/>
      <c r="AW13" s="78"/>
      <c r="AX13" s="56"/>
      <c r="AY13" s="79"/>
      <c r="AZ13" s="54"/>
      <c r="BA13" s="72"/>
      <c r="BB13" s="63" t="str">
        <f>Q11 &amp; IF(ISBLANK(R11),"",IF(Q11=R11,"(" &amp; O11 &amp; ")",""))</f>
        <v>1(3)</v>
      </c>
      <c r="BC13" s="64" t="str">
        <f ca="1">P11</f>
        <v>Croacia</v>
      </c>
    </row>
    <row r="14" spans="1:55" ht="16.5" thickBot="1" x14ac:dyDescent="0.3">
      <c r="L14" s="41" t="e">
        <f ca="1" xml:space="preserve"> IF(OR(#REF!=Equipos!$G$5,S8=Equipos!$G$5),1+COUNTIF($L$5:L13,"&gt;=1"),0)</f>
        <v>#REF!</v>
      </c>
      <c r="M14" s="41">
        <f ca="1" xml:space="preserve"> IF(Z14=Sedes!$G$3,1+COUNTIF($M$5:M13,"&gt;=1"),0)</f>
        <v>0</v>
      </c>
      <c r="O14" s="101"/>
      <c r="P14" s="132" t="str">
        <f ca="1">Traduccion!B53</f>
        <v>Cuartos de final</v>
      </c>
      <c r="Q14" s="132"/>
      <c r="R14" s="132"/>
      <c r="S14" s="132"/>
      <c r="T14" s="101"/>
      <c r="Z14" s="96" t="str">
        <f ca="1">Z5</f>
        <v>Estadio</v>
      </c>
      <c r="AA14" s="96" t="str">
        <f ca="1">AA5</f>
        <v>Horario</v>
      </c>
      <c r="AC14" s="65" t="str">
        <f ca="1">S7</f>
        <v>Argentina</v>
      </c>
      <c r="AD14" s="66" t="str">
        <f>R7 &amp; IF(ISBLANK(R7),"",IF(Q7=R7,"(" &amp; T7 &amp; ")",""))</f>
        <v>3</v>
      </c>
      <c r="AE14" s="54"/>
      <c r="AF14" s="54"/>
      <c r="AG14" s="54"/>
      <c r="AH14" s="56"/>
      <c r="AI14" s="71"/>
      <c r="AJ14" s="54"/>
      <c r="AK14" s="54"/>
      <c r="AL14" s="56"/>
      <c r="AM14" s="80"/>
      <c r="AN14" s="54"/>
      <c r="AO14" s="152" t="str">
        <f ca="1">Traduccion!B17</f>
        <v>Cuadro de honor</v>
      </c>
      <c r="AP14" s="153"/>
      <c r="AQ14" s="154"/>
      <c r="AR14" s="57"/>
      <c r="AS14" s="78"/>
      <c r="AT14" s="56"/>
      <c r="AU14" s="54"/>
      <c r="AV14" s="54"/>
      <c r="AW14" s="78"/>
      <c r="AX14" s="56"/>
      <c r="AY14" s="79"/>
      <c r="AZ14" s="54"/>
      <c r="BA14" s="54"/>
      <c r="BB14" s="69" t="str">
        <f>R11 &amp; IF(ISBLANK(R11),"",IF(Q11=R11,"(" &amp; T11 &amp; ")",""))</f>
        <v>1(2)</v>
      </c>
      <c r="BC14" s="70" t="str">
        <f ca="1">S11</f>
        <v>Dinamarca</v>
      </c>
    </row>
    <row r="15" spans="1:55" x14ac:dyDescent="0.25">
      <c r="A15" s="92" t="s">
        <v>67</v>
      </c>
      <c r="J15" s="41">
        <f t="shared" si="2"/>
        <v>1</v>
      </c>
      <c r="K15" s="41">
        <f>IF(J15=0,"",(IF(Q15+O15&gt;R15+T15,1,IF(Q15+O15=R15+T15,0.5,0))))</f>
        <v>0</v>
      </c>
      <c r="L15" s="41">
        <f ca="1" xml:space="preserve"> IF(OR(P15=Equipos!$G$5,S15=Equipos!$G$5),1+COUNTIF($L$5:L8,"&gt;=1"),0)</f>
        <v>2</v>
      </c>
      <c r="M15" s="41">
        <f xml:space="preserve"> IF(Z15=Sedes!$G$3,1+COUNTIF($M$5:M14,"&gt;=1"),0)</f>
        <v>0</v>
      </c>
      <c r="O15" s="95"/>
      <c r="P15" s="105" t="str">
        <f ca="1">IF(J6=1,IF(K6=1,P6,IF(K6=0.5,"",S6)),"")</f>
        <v>Uruguay</v>
      </c>
      <c r="Q15" s="98">
        <v>0</v>
      </c>
      <c r="R15" s="98">
        <v>2</v>
      </c>
      <c r="S15" s="105" t="str">
        <f ca="1">IF(J7=1,IF(K7=1,P7,IF(K7=0.5,"",S7)),"")</f>
        <v>Francia</v>
      </c>
      <c r="T15" s="95"/>
      <c r="U15" s="41">
        <f>IF(J15=0,"",(IF(Q15+O15&lt;R15+T15,1,IF(Q15+O15=R15+T15,0.5,0))))</f>
        <v>1</v>
      </c>
      <c r="V15" s="41">
        <f t="shared" ca="1" si="3"/>
        <v>43287.666666666664</v>
      </c>
      <c r="W15" s="41">
        <f ca="1">V15+COUNTIF($V$6:V15,V15)+2*ROW()</f>
        <v>43318.666666666664</v>
      </c>
      <c r="X15" s="41">
        <f t="shared" ca="1" si="4"/>
        <v>9</v>
      </c>
      <c r="Z15" s="58" t="s">
        <v>146</v>
      </c>
      <c r="AA15" s="59">
        <f>ConfigHorarios!A59</f>
        <v>43287.666666666664</v>
      </c>
      <c r="AC15" s="54"/>
      <c r="AD15" s="56"/>
      <c r="AE15" s="54"/>
      <c r="AF15" s="54"/>
      <c r="AG15" s="54"/>
      <c r="AH15" s="56"/>
      <c r="AI15" s="71"/>
      <c r="AJ15" s="62"/>
      <c r="AK15" s="60" t="str">
        <f ca="1">P20</f>
        <v>Francia</v>
      </c>
      <c r="AL15" s="61" t="str">
        <f>Q20 &amp; IF(ISBLANK(R20),"",IF(Q20=R20,"(" &amp; O20 &amp; ")",""))</f>
        <v>1</v>
      </c>
      <c r="AM15" s="86"/>
      <c r="AN15" s="87"/>
      <c r="AO15" s="147" t="str">
        <f ca="1">IF(J25=1,IF(K25=1,P25,S25),"")</f>
        <v>Francia</v>
      </c>
      <c r="AP15" s="148"/>
      <c r="AQ15" s="149"/>
      <c r="AR15" s="88"/>
      <c r="AS15" s="89"/>
      <c r="AT15" s="63" t="str">
        <f>Q21 &amp; IF(ISBLANK(R21),"",IF(Q21=R21,"(" &amp; O21 &amp; ")",""))</f>
        <v>2</v>
      </c>
      <c r="AU15" s="64" t="str">
        <f ca="1">P21</f>
        <v>Croacia</v>
      </c>
      <c r="AV15" s="62"/>
      <c r="AW15" s="78"/>
      <c r="AX15" s="56"/>
      <c r="AY15" s="79"/>
      <c r="AZ15" s="54"/>
      <c r="BA15" s="54"/>
      <c r="BB15" s="56"/>
      <c r="BC15" s="79"/>
    </row>
    <row r="16" spans="1:55" ht="16.5" thickBot="1" x14ac:dyDescent="0.3">
      <c r="A16" s="92" t="s">
        <v>67</v>
      </c>
      <c r="J16" s="41">
        <f t="shared" si="2"/>
        <v>1</v>
      </c>
      <c r="K16" s="41">
        <f t="shared" ref="K16:K18" si="5">IF(J16=0,"",(IF(Q16+O16&gt;R16+T16,1,IF(Q16+O16=R16+T16,0.5,0))))</f>
        <v>0</v>
      </c>
      <c r="L16" s="41">
        <f ca="1" xml:space="preserve"> IF(OR(P16=Equipos!$G$5,S16=Equipos!$G$5),1+COUNTIF($L$5:L15,"&gt;=1"),0)</f>
        <v>0</v>
      </c>
      <c r="M16" s="41">
        <f xml:space="preserve"> IF(Z16=Sedes!$G$3,1+COUNTIF($M$5:M15,"&gt;=1"),0)</f>
        <v>0</v>
      </c>
      <c r="O16" s="95"/>
      <c r="P16" s="105" t="str">
        <f ca="1">IF(J8=1,IF(K8=1,P8,IF(K8=0.5,"",S8)),"")</f>
        <v>Brasil</v>
      </c>
      <c r="Q16" s="98">
        <v>1</v>
      </c>
      <c r="R16" s="98">
        <v>2</v>
      </c>
      <c r="S16" s="105" t="str">
        <f ca="1">IF(J9=1,IF(K9=1,P9,IF(K9=0.5,"",S9)),"")</f>
        <v>Bélgica</v>
      </c>
      <c r="T16" s="95"/>
      <c r="U16" s="41">
        <f>IF(J16=0,"",(IF(Q16+O16&lt;R16+T16,1,IF(Q16+O16=R16+T16,0.5,0))))</f>
        <v>1</v>
      </c>
      <c r="V16" s="41">
        <f t="shared" ca="1" si="3"/>
        <v>43287.833333333336</v>
      </c>
      <c r="W16" s="41">
        <f ca="1">V16+COUNTIF($V$6:V16,V16)+2*ROW()</f>
        <v>43320.833333333336</v>
      </c>
      <c r="X16" s="41">
        <f t="shared" ca="1" si="4"/>
        <v>10</v>
      </c>
      <c r="Z16" s="58" t="s">
        <v>153</v>
      </c>
      <c r="AA16" s="59">
        <f>ConfigHorarios!A60</f>
        <v>43287.833333333336</v>
      </c>
      <c r="AC16" s="54"/>
      <c r="AD16" s="56"/>
      <c r="AE16" s="54"/>
      <c r="AF16" s="54"/>
      <c r="AG16" s="54"/>
      <c r="AH16" s="56"/>
      <c r="AI16" s="71"/>
      <c r="AJ16" s="54"/>
      <c r="AK16" s="65" t="str">
        <f ca="1">S20</f>
        <v>Bélgica</v>
      </c>
      <c r="AL16" s="66" t="str">
        <f>R20 &amp; IF(ISBLANK(R20),"",IF(Q20=R20,"(" &amp; T20 &amp; ")",""))</f>
        <v>0</v>
      </c>
      <c r="AM16" s="83"/>
      <c r="AN16" s="78"/>
      <c r="AO16" s="144" t="str">
        <f ca="1">IF(J25=1,IF(K25=0,P25,S25),"")</f>
        <v>Croacia</v>
      </c>
      <c r="AP16" s="145"/>
      <c r="AQ16" s="146"/>
      <c r="AR16" s="83"/>
      <c r="AS16" s="78"/>
      <c r="AT16" s="69" t="str">
        <f>R21 &amp; IF(ISBLANK(R21),"",IF(Q21=R21,"(" &amp; T21 &amp; ")",""))</f>
        <v>1</v>
      </c>
      <c r="AU16" s="70" t="str">
        <f ca="1">S21</f>
        <v>Inglaterra</v>
      </c>
      <c r="AV16" s="54"/>
      <c r="AW16" s="78"/>
      <c r="AX16" s="56"/>
      <c r="AY16" s="79"/>
      <c r="AZ16" s="54"/>
      <c r="BA16" s="54"/>
      <c r="BB16" s="56"/>
      <c r="BC16" s="79"/>
    </row>
    <row r="17" spans="1:55" ht="16.5" thickBot="1" x14ac:dyDescent="0.3">
      <c r="A17" s="92" t="s">
        <v>67</v>
      </c>
      <c r="J17" s="41">
        <f t="shared" si="2"/>
        <v>1</v>
      </c>
      <c r="K17" s="41">
        <f t="shared" si="5"/>
        <v>0</v>
      </c>
      <c r="L17" s="41">
        <f ca="1" xml:space="preserve"> IF(OR(P17=Equipos!$G$5,S17=Equipos!$G$5),1+COUNTIF($L$5:L16,"&gt;=1"),0)</f>
        <v>0</v>
      </c>
      <c r="M17" s="41">
        <f xml:space="preserve"> IF(Z17=Sedes!$G$3,1+COUNTIF($M$5:M16,"&gt;=1"),0)</f>
        <v>0</v>
      </c>
      <c r="O17" s="95">
        <v>3</v>
      </c>
      <c r="P17" s="105" t="str">
        <f ca="1">IF(J10=1,IF(K10=1,P10,IF(K10=0.5,"",S10)),"")</f>
        <v>Rusia</v>
      </c>
      <c r="Q17" s="98">
        <v>2</v>
      </c>
      <c r="R17" s="98">
        <v>2</v>
      </c>
      <c r="S17" s="105" t="str">
        <f ca="1">IF(J11=1,IF(K11=1,P11,IF(K11=0.5,"",S11)),"")</f>
        <v>Croacia</v>
      </c>
      <c r="T17" s="95">
        <v>4</v>
      </c>
      <c r="U17" s="41">
        <f>IF(J17=0,"",(IF(Q17+O17&lt;R17+T17,1,IF(Q17+O17=R17+T17,0.5,0))))</f>
        <v>1</v>
      </c>
      <c r="V17" s="41">
        <f t="shared" ca="1" si="3"/>
        <v>43288.833333333336</v>
      </c>
      <c r="W17" s="41">
        <f ca="1">V17+COUNTIF($V$6:V17,V17)+2*ROW()</f>
        <v>43323.833333333336</v>
      </c>
      <c r="X17" s="41">
        <f t="shared" ca="1" si="4"/>
        <v>11</v>
      </c>
      <c r="Z17" s="58" t="s">
        <v>152</v>
      </c>
      <c r="AA17" s="59">
        <f>ConfigHorarios!A61</f>
        <v>43288.833333333336</v>
      </c>
      <c r="AC17" s="60" t="str">
        <f ca="1">P8</f>
        <v>Brasil</v>
      </c>
      <c r="AD17" s="61" t="str">
        <f>Q8 &amp; IF(ISBLANK(R8),"",IF(Q8=R8,"(" &amp; O8 &amp; ")",""))</f>
        <v>2</v>
      </c>
      <c r="AE17" s="62"/>
      <c r="AF17" s="54"/>
      <c r="AG17" s="54"/>
      <c r="AH17" s="56"/>
      <c r="AI17" s="71"/>
      <c r="AJ17" s="54"/>
      <c r="AK17" s="54"/>
      <c r="AL17" s="56"/>
      <c r="AM17" s="57"/>
      <c r="AN17" s="78"/>
      <c r="AO17" s="141" t="str">
        <f ca="1">IF(J23=1,IF(K23=1,P23,S23),"")</f>
        <v>Bélgica</v>
      </c>
      <c r="AP17" s="142"/>
      <c r="AQ17" s="143"/>
      <c r="AR17" s="57"/>
      <c r="AS17" s="78"/>
      <c r="AT17" s="56"/>
      <c r="AU17" s="54"/>
      <c r="AV17" s="54"/>
      <c r="AW17" s="78"/>
      <c r="AX17" s="56"/>
      <c r="AY17" s="79"/>
      <c r="AZ17" s="54"/>
      <c r="BA17" s="62"/>
      <c r="BB17" s="63" t="str">
        <f>Q12 &amp; IF(ISBLANK(R12),"",IF(Q12=R12,"(" &amp; O12 &amp; ")",""))</f>
        <v>1</v>
      </c>
      <c r="BC17" s="64" t="str">
        <f ca="1">P12</f>
        <v>Suecia</v>
      </c>
    </row>
    <row r="18" spans="1:55" ht="16.5" thickBot="1" x14ac:dyDescent="0.3">
      <c r="A18" s="92" t="s">
        <v>67</v>
      </c>
      <c r="J18" s="41">
        <f t="shared" si="2"/>
        <v>1</v>
      </c>
      <c r="K18" s="41">
        <f t="shared" si="5"/>
        <v>0</v>
      </c>
      <c r="L18" s="41">
        <f ca="1" xml:space="preserve"> IF(OR(P12=Equipos!$G$5,S12=Equipos!$G$5),1+COUNTIF($L$5:L17,"&gt;=1"),0)</f>
        <v>0</v>
      </c>
      <c r="M18" s="41">
        <f xml:space="preserve"> IF(Z18=Sedes!$G$3,1+COUNTIF($M$5:M17,"&gt;=1"),0)</f>
        <v>0</v>
      </c>
      <c r="O18" s="95"/>
      <c r="P18" s="105" t="str">
        <f ca="1">IF(J12=1,IF(K12=1,P12,IF(K12=0.5,"",S12)),"")</f>
        <v>Suecia</v>
      </c>
      <c r="Q18" s="98">
        <v>0</v>
      </c>
      <c r="R18" s="98">
        <v>2</v>
      </c>
      <c r="S18" s="105" t="str">
        <f ca="1">IF(J13=1,IF(K13=1,P13,IF(K13=0.5,"",S13)),"")</f>
        <v>Inglaterra</v>
      </c>
      <c r="T18" s="95"/>
      <c r="U18" s="41">
        <f>IF(J12=0,"",(IF(Q12+O12&lt;R12+T12,1,IF(Q12+O12=R12+T12,0.5,0))))</f>
        <v>0</v>
      </c>
      <c r="V18" s="41">
        <f t="shared" ca="1" si="3"/>
        <v>43288.666666666664</v>
      </c>
      <c r="W18" s="41">
        <f ca="1">V18+COUNTIF($V$6:V18,V18)+2*ROW()</f>
        <v>43325.666666666664</v>
      </c>
      <c r="X18" s="41">
        <f t="shared" ca="1" si="4"/>
        <v>12</v>
      </c>
      <c r="Z18" s="58" t="s">
        <v>149</v>
      </c>
      <c r="AA18" s="59">
        <f>ConfigHorarios!A62</f>
        <v>43288.666666666664</v>
      </c>
      <c r="AC18" s="65" t="str">
        <f ca="1">S8</f>
        <v>México</v>
      </c>
      <c r="AD18" s="66" t="str">
        <f>R8 &amp; IF(ISBLANK(R8),"",IF(Q8=R8,"(" &amp; T8 &amp; ")",""))</f>
        <v>0</v>
      </c>
      <c r="AE18" s="67"/>
      <c r="AF18" s="54"/>
      <c r="AG18" s="54"/>
      <c r="AH18" s="56"/>
      <c r="AI18" s="71"/>
      <c r="AJ18" s="54"/>
      <c r="AK18" s="54"/>
      <c r="AL18" s="56"/>
      <c r="AM18" s="57"/>
      <c r="AN18" s="78"/>
      <c r="AO18" s="56"/>
      <c r="AP18" s="54"/>
      <c r="AQ18" s="56"/>
      <c r="AR18" s="57"/>
      <c r="AS18" s="78"/>
      <c r="AT18" s="56"/>
      <c r="AU18" s="54"/>
      <c r="AV18" s="54"/>
      <c r="AW18" s="78"/>
      <c r="AX18" s="56"/>
      <c r="AY18" s="79"/>
      <c r="AZ18" s="54"/>
      <c r="BA18" s="68"/>
      <c r="BB18" s="69" t="str">
        <f>R12 &amp; IF(ISBLANK(R12),"",IF(Q12=R12,"(" &amp; T12 &amp; ")",""))</f>
        <v>0</v>
      </c>
      <c r="BC18" s="70" t="str">
        <f ca="1">S12</f>
        <v>Suiza</v>
      </c>
    </row>
    <row r="19" spans="1:55" ht="16.5" thickBot="1" x14ac:dyDescent="0.3">
      <c r="L19" s="41" t="e">
        <f xml:space="preserve"> IF(OR(#REF!=Equipos!$G$5,S19=Equipos!$G$5),1+COUNTIF($L$5:L12,"&gt;=1"),0)</f>
        <v>#REF!</v>
      </c>
      <c r="M19" s="41">
        <f ca="1" xml:space="preserve"> IF(Z19=Sedes!$G$3,1+COUNTIF($M$5:M18,"&gt;=1"),0)</f>
        <v>0</v>
      </c>
      <c r="O19" s="101"/>
      <c r="P19" s="132" t="str">
        <f ca="1">Traduccion!B54</f>
        <v>Semifinales</v>
      </c>
      <c r="Q19" s="132"/>
      <c r="R19" s="132"/>
      <c r="S19" s="132"/>
      <c r="T19" s="101"/>
      <c r="Z19" s="96" t="str">
        <f ca="1">Z14</f>
        <v>Estadio</v>
      </c>
      <c r="AA19" s="96" t="str">
        <f ca="1">AA5</f>
        <v>Horario</v>
      </c>
      <c r="AC19" s="54"/>
      <c r="AD19" s="56"/>
      <c r="AE19" s="71"/>
      <c r="AF19" s="72"/>
      <c r="AG19" s="60" t="str">
        <f ca="1">P16</f>
        <v>Brasil</v>
      </c>
      <c r="AH19" s="61" t="str">
        <f>Q16 &amp; IF(ISBLANK(R16),"",IF(Q16=R16,"(" &amp; O16 &amp; ")",""))</f>
        <v>1</v>
      </c>
      <c r="AI19" s="90"/>
      <c r="AJ19" s="54"/>
      <c r="AK19" s="54"/>
      <c r="AL19" s="56"/>
      <c r="AM19" s="57"/>
      <c r="AN19" s="72"/>
      <c r="AO19" s="74" t="str">
        <f>Q23 &amp; IF(ISBLANK(R23),"",IF(Q23=R23,"(" &amp; O23 &amp; ")",""))</f>
        <v>2</v>
      </c>
      <c r="AP19" s="75" t="str">
        <f ca="1">P23</f>
        <v>Bélgica</v>
      </c>
      <c r="AQ19" s="56"/>
      <c r="AR19" s="76"/>
      <c r="AS19" s="78"/>
      <c r="AT19" s="56"/>
      <c r="AU19" s="54"/>
      <c r="AV19" s="54"/>
      <c r="AW19" s="72"/>
      <c r="AX19" s="63" t="str">
        <f>Q18 &amp; IF(ISBLANK(R18),"",IF(Q18=R18,"(" &amp; O18 &amp; ")",""))</f>
        <v>0</v>
      </c>
      <c r="AY19" s="64" t="str">
        <f ca="1">P18</f>
        <v>Suecia</v>
      </c>
      <c r="AZ19" s="62"/>
      <c r="BA19" s="78"/>
      <c r="BB19" s="56"/>
      <c r="BC19" s="79"/>
    </row>
    <row r="20" spans="1:55" ht="16.5" thickBot="1" x14ac:dyDescent="0.3">
      <c r="A20" s="92" t="s">
        <v>69</v>
      </c>
      <c r="J20" s="41">
        <f t="shared" si="2"/>
        <v>1</v>
      </c>
      <c r="K20" s="41">
        <f>IF(J20=0,"",(IF(Q20+O20&gt;R20+T20,1,IF(Q20+O20=R20+T20,0.5,0))))</f>
        <v>1</v>
      </c>
      <c r="L20" s="41">
        <f ca="1" xml:space="preserve"> IF(OR(P20=Equipos!$G$5,S20=Equipos!$G$5),1+COUNTIF($L$5:L19,"&gt;=1"),0)</f>
        <v>3</v>
      </c>
      <c r="M20" s="41">
        <f ca="1" xml:space="preserve"> IF(Z20=Sedes!$G$3,1+COUNTIF($M$5:M19,"&gt;=1"),0)</f>
        <v>2</v>
      </c>
      <c r="O20" s="95"/>
      <c r="P20" s="105" t="str">
        <f ca="1">IF(J15=1,IF(K15=1,P15,IF(K15=0.5,"",S15)),"")</f>
        <v>Francia</v>
      </c>
      <c r="Q20" s="98">
        <v>1</v>
      </c>
      <c r="R20" s="98">
        <v>0</v>
      </c>
      <c r="S20" s="105" t="str">
        <f ca="1">IF(J16=1,IF(K16=1,P16,IF(K16=0.5,"",S16)),"")</f>
        <v>Bélgica</v>
      </c>
      <c r="T20" s="95"/>
      <c r="U20" s="41">
        <f>IF(J20=0,"",(IF(Q20+O20&lt;R20+T20,1,IF(Q20+O20=R20+T20,0.5,0))))</f>
        <v>0</v>
      </c>
      <c r="V20" s="41">
        <f t="shared" ca="1" si="3"/>
        <v>43291.833333333336</v>
      </c>
      <c r="W20" s="41">
        <f ca="1">V20+COUNTIF($V$6:V20,V20)+2*ROW()</f>
        <v>43332.833333333336</v>
      </c>
      <c r="X20" s="41">
        <f t="shared" ca="1" si="4"/>
        <v>13</v>
      </c>
      <c r="Z20" s="58" t="s">
        <v>144</v>
      </c>
      <c r="AA20" s="59">
        <f>ConfigHorarios!A64</f>
        <v>43291.833333333336</v>
      </c>
      <c r="AC20" s="54"/>
      <c r="AD20" s="56"/>
      <c r="AE20" s="71"/>
      <c r="AF20" s="54"/>
      <c r="AG20" s="65" t="str">
        <f ca="1">S16</f>
        <v>Bélgica</v>
      </c>
      <c r="AH20" s="66" t="str">
        <f>R16 &amp; IF(ISBLANK(R16),"",IF(Q16=R16,"(" &amp; T16 &amp; ")",""))</f>
        <v>2</v>
      </c>
      <c r="AI20" s="54"/>
      <c r="AJ20" s="54"/>
      <c r="AK20" s="54"/>
      <c r="AL20" s="56"/>
      <c r="AM20" s="57"/>
      <c r="AN20" s="54"/>
      <c r="AO20" s="56"/>
      <c r="AP20" s="81" t="str">
        <f ca="1">S23</f>
        <v>Inglaterra</v>
      </c>
      <c r="AQ20" s="82" t="str">
        <f>R23 &amp; IF(ISBLANK(R23),"",IF(Q23=R23,"(" &amp; T23 &amp; ")",""))</f>
        <v>0</v>
      </c>
      <c r="AR20" s="57"/>
      <c r="AS20" s="54"/>
      <c r="AT20" s="56"/>
      <c r="AU20" s="54"/>
      <c r="AV20" s="54"/>
      <c r="AW20" s="54"/>
      <c r="AX20" s="69" t="str">
        <f>R18 &amp; IF(ISBLANK(R18),"",IF(Q18=R18,"(" &amp; T18 &amp; ")",""))</f>
        <v>2</v>
      </c>
      <c r="AY20" s="70" t="str">
        <f ca="1">S18</f>
        <v>Inglaterra</v>
      </c>
      <c r="AZ20" s="54"/>
      <c r="BA20" s="78"/>
      <c r="BB20" s="56"/>
      <c r="BC20" s="79"/>
    </row>
    <row r="21" spans="1:55" x14ac:dyDescent="0.25">
      <c r="A21" s="92" t="s">
        <v>69</v>
      </c>
      <c r="J21" s="41">
        <f t="shared" si="2"/>
        <v>1</v>
      </c>
      <c r="K21" s="41">
        <f>IF(J21=0,"",(IF(Q21+O21&gt;R21+T21,1,IF(Q21+O21=R21+T21,0.5,0))))</f>
        <v>1</v>
      </c>
      <c r="L21" s="41">
        <f ca="1" xml:space="preserve"> IF(OR(P21=Equipos!$G$5,S21=Equipos!$G$5),1+COUNTIF($L$5:L20,"&gt;=1"),0)</f>
        <v>0</v>
      </c>
      <c r="M21" s="41">
        <f xml:space="preserve"> IF(Z21=Sedes!$G$3,1+COUNTIF($M$5:M20,"&gt;=1"),0)</f>
        <v>0</v>
      </c>
      <c r="O21" s="95"/>
      <c r="P21" s="105" t="str">
        <f ca="1">IF(J17=1,IF(K17=1,P17,IF(K17=0.5,"",S17)),"")</f>
        <v>Croacia</v>
      </c>
      <c r="Q21" s="98">
        <v>2</v>
      </c>
      <c r="R21" s="98">
        <v>1</v>
      </c>
      <c r="S21" s="105" t="str">
        <f ca="1">IF(J18=1,IF(K18=1,P18,IF(K18=0.5,"",S18)),"")</f>
        <v>Inglaterra</v>
      </c>
      <c r="T21" s="95"/>
      <c r="U21" s="41">
        <f>IF(J21=0,"",(IF(Q21+O21&lt;R21+T21,1,IF(Q21+O21=R21+T21,0.5,0))))</f>
        <v>0</v>
      </c>
      <c r="V21" s="41">
        <f t="shared" ca="1" si="3"/>
        <v>43292.833333333336</v>
      </c>
      <c r="W21" s="41">
        <f ca="1">V21+COUNTIF($V$6:V21,V21)+2*ROW()</f>
        <v>43335.833333333336</v>
      </c>
      <c r="X21" s="41">
        <f t="shared" ca="1" si="4"/>
        <v>14</v>
      </c>
      <c r="Z21" s="58" t="s">
        <v>165</v>
      </c>
      <c r="AA21" s="59">
        <f>ConfigHorarios!A65</f>
        <v>43292.833333333336</v>
      </c>
      <c r="AC21" s="60" t="str">
        <f ca="1">P9</f>
        <v>Bélgica</v>
      </c>
      <c r="AD21" s="61" t="str">
        <f>Q9 &amp; IF(ISBLANK(R9),"",IF(Q9=R9,"(" &amp; O9 &amp; ")",""))</f>
        <v>3</v>
      </c>
      <c r="AE21" s="90"/>
      <c r="AF21" s="54"/>
      <c r="AG21" s="54"/>
      <c r="AH21" s="56"/>
      <c r="AI21" s="54"/>
      <c r="AJ21" s="54"/>
      <c r="AK21" s="54"/>
      <c r="AL21" s="56"/>
      <c r="AM21" s="57"/>
      <c r="AN21" s="54"/>
      <c r="AO21" s="56"/>
      <c r="AP21" s="54"/>
      <c r="AQ21" s="56"/>
      <c r="AR21" s="57"/>
      <c r="AS21" s="54"/>
      <c r="AT21" s="56"/>
      <c r="AU21" s="54"/>
      <c r="AV21" s="54"/>
      <c r="AW21" s="54"/>
      <c r="AX21" s="56"/>
      <c r="AY21" s="54"/>
      <c r="AZ21" s="54"/>
      <c r="BA21" s="72"/>
      <c r="BB21" s="63" t="str">
        <f>Q13 &amp; IF(ISBLANK(R13),"",IF(Q13=R13,"(" &amp; O13 &amp; ")",""))</f>
        <v>1(3)</v>
      </c>
      <c r="BC21" s="64" t="str">
        <f ca="1">P13</f>
        <v>Colombia</v>
      </c>
    </row>
    <row r="22" spans="1:55" ht="16.5" thickBot="1" x14ac:dyDescent="0.3">
      <c r="L22" s="41" t="e">
        <f xml:space="preserve"> IF(OR(#REF!=Equipos!$G$5,S22=Equipos!$G$5),1+COUNTIF($L$5:L21,"&gt;=1"),0)</f>
        <v>#REF!</v>
      </c>
      <c r="M22" s="41">
        <f ca="1" xml:space="preserve"> IF(Z22=Sedes!$G$3,1+COUNTIF($M$5:M21,"&gt;=1"),0)</f>
        <v>0</v>
      </c>
      <c r="O22" s="101"/>
      <c r="P22" s="132" t="str">
        <f ca="1">Traduccion!B55</f>
        <v>Tercer y Cuarto Puesto</v>
      </c>
      <c r="Q22" s="132"/>
      <c r="R22" s="132"/>
      <c r="S22" s="132"/>
      <c r="T22" s="101"/>
      <c r="Z22" s="96" t="str">
        <f ca="1">Z5</f>
        <v>Estadio</v>
      </c>
      <c r="AA22" s="96" t="str">
        <f ca="1">AA5</f>
        <v>Horario</v>
      </c>
      <c r="AC22" s="65" t="str">
        <f ca="1">S9</f>
        <v>Japón</v>
      </c>
      <c r="AD22" s="66" t="str">
        <f>R9 &amp; IF(ISBLANK(R9),"",IF(Q9=R9,"(" &amp; T9 &amp; ")",""))</f>
        <v>2</v>
      </c>
      <c r="AE22" s="54"/>
      <c r="AF22" s="54"/>
      <c r="AG22" s="54"/>
      <c r="AH22" s="56"/>
      <c r="AI22" s="54"/>
      <c r="AJ22" s="54"/>
      <c r="AK22" s="54"/>
      <c r="AL22" s="56"/>
      <c r="AM22" s="57"/>
      <c r="AN22" s="54"/>
      <c r="AO22" s="56"/>
      <c r="AP22" s="54"/>
      <c r="AQ22" s="56"/>
      <c r="AR22" s="57"/>
      <c r="AS22" s="54"/>
      <c r="AT22" s="56"/>
      <c r="AU22" s="54"/>
      <c r="AV22" s="54"/>
      <c r="AW22" s="54"/>
      <c r="AX22" s="56"/>
      <c r="AY22" s="54"/>
      <c r="AZ22" s="54"/>
      <c r="BA22" s="54"/>
      <c r="BB22" s="69" t="str">
        <f>R13 &amp; IF(ISBLANK(R13),"",IF(Q13=R13,"(" &amp; T13 &amp; ")",""))</f>
        <v>1(4)</v>
      </c>
      <c r="BC22" s="70" t="str">
        <f ca="1">S13</f>
        <v>Inglaterra</v>
      </c>
    </row>
    <row r="23" spans="1:55" x14ac:dyDescent="0.25">
      <c r="A23" s="92" t="s">
        <v>128</v>
      </c>
      <c r="J23" s="41">
        <f t="shared" ref="J23" si="6">IF(OR(ISBLANK(Q23),ISBLANK(R23)),0,1)</f>
        <v>1</v>
      </c>
      <c r="K23" s="41">
        <f>IF(J23=0,"",(IF(Q23+O23&gt;R23+T23,1,IF(Q23+O23=R23+T23,0.5,0))))</f>
        <v>1</v>
      </c>
      <c r="L23" s="41">
        <f ca="1" xml:space="preserve"> IF(OR(P23=Equipos!$G$5,S23=Equipos!$G$5),1+COUNTIF($L$5:L22,"&gt;=1"),0)</f>
        <v>0</v>
      </c>
      <c r="M23" s="41">
        <f ca="1" xml:space="preserve"> IF(Z23=Sedes!$G$3,1+COUNTIF($M$5:M22,"&gt;=1"),0)</f>
        <v>3</v>
      </c>
      <c r="O23" s="95"/>
      <c r="P23" s="105" t="str">
        <f ca="1">IF(J20=1,IF(K20=0,P20,IF(K20=0.5,"",S20)),"")</f>
        <v>Bélgica</v>
      </c>
      <c r="Q23" s="98">
        <v>2</v>
      </c>
      <c r="R23" s="98">
        <v>0</v>
      </c>
      <c r="S23" s="105" t="str">
        <f ca="1">IF(J21=1,IF(K21=0,P21,IF(K21=0.5,"",S21)),"")</f>
        <v>Inglaterra</v>
      </c>
      <c r="T23" s="95"/>
      <c r="V23" s="41">
        <f t="shared" ca="1" si="3"/>
        <v>43295.666666666664</v>
      </c>
      <c r="W23" s="41">
        <f ca="1">V23+COUNTIF($V$6:V23,V23)+2*ROW()</f>
        <v>43342.666666666664</v>
      </c>
      <c r="X23" s="41">
        <f t="shared" ca="1" si="4"/>
        <v>15</v>
      </c>
      <c r="Z23" s="58" t="s">
        <v>144</v>
      </c>
      <c r="AA23" s="59">
        <f>ConfigHorarios!A67</f>
        <v>43295.666666666664</v>
      </c>
    </row>
    <row r="24" spans="1:55" x14ac:dyDescent="0.25">
      <c r="L24" s="41" t="e">
        <f xml:space="preserve"> IF(OR(#REF!=Equipos!$G$5,S24=Equipos!$G$5),1+COUNTIF($L$5:L23,"&gt;=1"),0)</f>
        <v>#REF!</v>
      </c>
      <c r="M24" s="41">
        <f ca="1" xml:space="preserve"> IF(Z24=Sedes!$G$3,1+COUNTIF($M$5:M23,"&gt;=1"),0)</f>
        <v>0</v>
      </c>
      <c r="O24" s="101"/>
      <c r="P24" s="132" t="str">
        <f ca="1">Traduccion!B56</f>
        <v>Final</v>
      </c>
      <c r="Q24" s="132"/>
      <c r="R24" s="132"/>
      <c r="S24" s="132"/>
      <c r="T24" s="101"/>
      <c r="Z24" s="96" t="str">
        <f ca="1">Z5</f>
        <v>Estadio</v>
      </c>
      <c r="AA24" s="96" t="str">
        <f ca="1">AA5</f>
        <v>Horario</v>
      </c>
    </row>
    <row r="25" spans="1:55" x14ac:dyDescent="0.25">
      <c r="A25" s="92" t="s">
        <v>71</v>
      </c>
      <c r="J25" s="41">
        <f t="shared" si="2"/>
        <v>1</v>
      </c>
      <c r="K25" s="41">
        <f>IF(J25=0,"",(IF(Q25+O25&gt;R25+T25,1,IF(Q25+O25=R25+T25,0.5,0))))</f>
        <v>1</v>
      </c>
      <c r="L25" s="41">
        <f ca="1" xml:space="preserve"> IF(OR(P25=Equipos!$G$5,S25=Equipos!$G$5),1+COUNTIF($L$5:L24,"&gt;=1"),0)</f>
        <v>4</v>
      </c>
      <c r="M25" s="41">
        <f xml:space="preserve"> IF(Z25=Sedes!$G$3,1+COUNTIF($M$5:M24,"&gt;=1"),0)</f>
        <v>0</v>
      </c>
      <c r="O25" s="95"/>
      <c r="P25" s="105" t="str">
        <f ca="1">IF(J20=1,IF(K20=1,P20,IF(K20=0.5,"",S20)),"")</f>
        <v>Francia</v>
      </c>
      <c r="Q25" s="98">
        <v>4</v>
      </c>
      <c r="R25" s="98">
        <v>2</v>
      </c>
      <c r="S25" s="105" t="str">
        <f ca="1">IF(J21=1,IF(K21=1,P21,IF(K21=0.5,"",S21)),"")</f>
        <v>Croacia</v>
      </c>
      <c r="T25" s="95"/>
      <c r="U25" s="41">
        <f>IF(J25=0,"",(IF(Q25+O25&lt;R25+T25,1,IF(Q25+O25=R25+T25,0.5,0))))</f>
        <v>0</v>
      </c>
      <c r="V25" s="41">
        <f t="shared" ca="1" si="3"/>
        <v>43296.708333333336</v>
      </c>
      <c r="W25" s="41">
        <f ca="1">V25+COUNTIF($V$6:V25,V25)+2*ROW()</f>
        <v>43347.708333333336</v>
      </c>
      <c r="X25" s="41">
        <f t="shared" ca="1" si="4"/>
        <v>16</v>
      </c>
      <c r="Z25" s="58" t="s">
        <v>165</v>
      </c>
      <c r="AA25" s="59">
        <f>ConfigHorarios!A69</f>
        <v>43296.708333333336</v>
      </c>
    </row>
    <row r="26" spans="1:55" x14ac:dyDescent="0.25"/>
    <row r="27" spans="1:55" hidden="1" x14ac:dyDescent="0.25">
      <c r="Z27" s="50"/>
    </row>
    <row r="28" spans="1:55" hidden="1" x14ac:dyDescent="0.25"/>
    <row r="29" spans="1:55" hidden="1" x14ac:dyDescent="0.25"/>
    <row r="30" spans="1:55" hidden="1" x14ac:dyDescent="0.25"/>
    <row r="31" spans="1:55" hidden="1" x14ac:dyDescent="0.25"/>
    <row r="32" spans="1:55" hidden="1" x14ac:dyDescent="0.25"/>
    <row r="33" spans="30:34" hidden="1" x14ac:dyDescent="0.25"/>
    <row r="34" spans="30:34" hidden="1" x14ac:dyDescent="0.25">
      <c r="AD34" s="41"/>
      <c r="AH34" s="41"/>
    </row>
  </sheetData>
  <sheetProtection sheet="1" objects="1" scenarios="1"/>
  <mergeCells count="15">
    <mergeCell ref="AX5:AY5"/>
    <mergeCell ref="BB5:BC5"/>
    <mergeCell ref="P19:S19"/>
    <mergeCell ref="P22:S22"/>
    <mergeCell ref="P24:S24"/>
    <mergeCell ref="AC5:AD5"/>
    <mergeCell ref="AO17:AQ17"/>
    <mergeCell ref="AO16:AQ16"/>
    <mergeCell ref="AO15:AQ15"/>
    <mergeCell ref="AG5:AH5"/>
    <mergeCell ref="AK5:AL5"/>
    <mergeCell ref="AT5:AU5"/>
    <mergeCell ref="P5:S5"/>
    <mergeCell ref="AO14:AQ14"/>
    <mergeCell ref="P14:S14"/>
  </mergeCells>
  <conditionalFormatting sqref="P6:P13">
    <cfRule type="expression" dxfId="117" priority="54">
      <formula>IF(K6=0,TRUE,FALSE)</formula>
    </cfRule>
    <cfRule type="expression" dxfId="116" priority="55">
      <formula>IF(K6=0.5,TRUE,FALSE)</formula>
    </cfRule>
    <cfRule type="expression" dxfId="115" priority="58">
      <formula>IF($P6&lt;&gt;"",TRUE,FALSE)</formula>
    </cfRule>
    <cfRule type="expression" dxfId="114" priority="60">
      <formula>IF(K6=1,TRUE,FALSE)</formula>
    </cfRule>
  </conditionalFormatting>
  <conditionalFormatting sqref="T6">
    <cfRule type="expression" dxfId="113" priority="50">
      <formula>IF(NOT(ISBLANK(T6)),TRUE,FALSE)</formula>
    </cfRule>
    <cfRule type="expression" dxfId="112" priority="52">
      <formula>IF(AND(ISBLANK(T6),K6=0.5),TRUE,FALSE)</formula>
    </cfRule>
    <cfRule type="expression" dxfId="111" priority="64">
      <formula>IF(AND(Q6=R6,AND(Q6&lt;&gt;"",R6&lt;&gt;"")),TRUE,FALSE)</formula>
    </cfRule>
  </conditionalFormatting>
  <conditionalFormatting sqref="Q6:S13">
    <cfRule type="expression" dxfId="110" priority="63">
      <formula>IF($P6&lt;&gt;"",TRUE,FALSE)</formula>
    </cfRule>
  </conditionalFormatting>
  <conditionalFormatting sqref="O6">
    <cfRule type="expression" dxfId="109" priority="51">
      <formula>IF(NOT(ISBLANK(O6)),TRUE,FALSE)</formula>
    </cfRule>
    <cfRule type="expression" dxfId="108" priority="53">
      <formula>IF(AND(ISBLANK(O6),K6=0.5),TRUE,FALSE)</formula>
    </cfRule>
    <cfRule type="expression" dxfId="107" priority="62">
      <formula>IF(AND(Q6=R6,AND(Q6&lt;&gt;"",R6&lt;&gt;"")),TRUE,FALSE)</formula>
    </cfRule>
  </conditionalFormatting>
  <conditionalFormatting sqref="Q6:R13">
    <cfRule type="expression" dxfId="106" priority="61">
      <formula>IF(ISBLANK(Q6),TRUE,FALSE)</formula>
    </cfRule>
  </conditionalFormatting>
  <conditionalFormatting sqref="S6:S13">
    <cfRule type="expression" dxfId="105" priority="56">
      <formula>IF(K6=0.5,TRUE,FALSE)</formula>
    </cfRule>
    <cfRule type="expression" dxfId="104" priority="57">
      <formula>IF(K6=1,TRUE,FALSE)</formula>
    </cfRule>
    <cfRule type="expression" dxfId="103" priority="59">
      <formula>IF(K6=0,TRUE,FALSE)</formula>
    </cfRule>
  </conditionalFormatting>
  <conditionalFormatting sqref="P15:P18">
    <cfRule type="expression" dxfId="102" priority="41">
      <formula>IF(K15=0,TRUE,FALSE)</formula>
    </cfRule>
    <cfRule type="expression" dxfId="101" priority="42">
      <formula>IF(K15=0.5,TRUE,FALSE)</formula>
    </cfRule>
    <cfRule type="expression" dxfId="100" priority="45">
      <formula>IF($P15&lt;&gt;"",TRUE,FALSE)</formula>
    </cfRule>
    <cfRule type="expression" dxfId="99" priority="47">
      <formula>IF(K15=1,TRUE,FALSE)</formula>
    </cfRule>
  </conditionalFormatting>
  <conditionalFormatting sqref="Q15:S18">
    <cfRule type="expression" dxfId="98" priority="49">
      <formula>IF($P15&lt;&gt;"",TRUE,FALSE)</formula>
    </cfRule>
  </conditionalFormatting>
  <conditionalFormatting sqref="Q15:R18">
    <cfRule type="expression" dxfId="97" priority="48">
      <formula>IF(ISBLANK(Q15),TRUE,FALSE)</formula>
    </cfRule>
  </conditionalFormatting>
  <conditionalFormatting sqref="S15:S18">
    <cfRule type="expression" dxfId="96" priority="43">
      <formula>IF(K15=0.5,TRUE,FALSE)</formula>
    </cfRule>
    <cfRule type="expression" dxfId="95" priority="44">
      <formula>IF(K15=1,TRUE,FALSE)</formula>
    </cfRule>
    <cfRule type="expression" dxfId="94" priority="46">
      <formula>IF(K15=0,TRUE,FALSE)</formula>
    </cfRule>
  </conditionalFormatting>
  <conditionalFormatting sqref="P20:P21">
    <cfRule type="expression" dxfId="93" priority="32">
      <formula>IF(K20=0,TRUE,FALSE)</formula>
    </cfRule>
    <cfRule type="expression" dxfId="92" priority="33">
      <formula>IF(K20=0.5,TRUE,FALSE)</formula>
    </cfRule>
    <cfRule type="expression" dxfId="91" priority="36">
      <formula>IF($P20&lt;&gt;"",TRUE,FALSE)</formula>
    </cfRule>
    <cfRule type="expression" dxfId="90" priority="38">
      <formula>IF(K20=1,TRUE,FALSE)</formula>
    </cfRule>
  </conditionalFormatting>
  <conditionalFormatting sqref="Q20:S21">
    <cfRule type="expression" dxfId="89" priority="40">
      <formula>IF($P20&lt;&gt;"",TRUE,FALSE)</formula>
    </cfRule>
  </conditionalFormatting>
  <conditionalFormatting sqref="Q20:R21">
    <cfRule type="expression" dxfId="88" priority="39">
      <formula>IF(ISBLANK(Q20),TRUE,FALSE)</formula>
    </cfRule>
  </conditionalFormatting>
  <conditionalFormatting sqref="S20:S21">
    <cfRule type="expression" dxfId="87" priority="34">
      <formula>IF(K20=0.5,TRUE,FALSE)</formula>
    </cfRule>
    <cfRule type="expression" dxfId="86" priority="35">
      <formula>IF(K20=1,TRUE,FALSE)</formula>
    </cfRule>
    <cfRule type="expression" dxfId="85" priority="37">
      <formula>IF(K20=0,TRUE,FALSE)</formula>
    </cfRule>
  </conditionalFormatting>
  <conditionalFormatting sqref="P23">
    <cfRule type="expression" dxfId="84" priority="23">
      <formula>IF(K23=0,TRUE,FALSE)</formula>
    </cfRule>
    <cfRule type="expression" dxfId="83" priority="24">
      <formula>IF(K23=0.5,TRUE,FALSE)</formula>
    </cfRule>
    <cfRule type="expression" dxfId="82" priority="27">
      <formula>IF($P23&lt;&gt;"",TRUE,FALSE)</formula>
    </cfRule>
    <cfRule type="expression" dxfId="81" priority="29">
      <formula>IF(K23=1,TRUE,FALSE)</formula>
    </cfRule>
  </conditionalFormatting>
  <conditionalFormatting sqref="Q23:S23">
    <cfRule type="expression" dxfId="80" priority="31">
      <formula>IF($P23&lt;&gt;"",TRUE,FALSE)</formula>
    </cfRule>
  </conditionalFormatting>
  <conditionalFormatting sqref="Q23:R23">
    <cfRule type="expression" dxfId="79" priority="30">
      <formula>IF(ISBLANK(Q23),TRUE,FALSE)</formula>
    </cfRule>
  </conditionalFormatting>
  <conditionalFormatting sqref="S23">
    <cfRule type="expression" dxfId="78" priority="25">
      <formula>IF(K23=0.5,TRUE,FALSE)</formula>
    </cfRule>
    <cfRule type="expression" dxfId="77" priority="26">
      <formula>IF(K23=1,TRUE,FALSE)</formula>
    </cfRule>
    <cfRule type="expression" dxfId="76" priority="28">
      <formula>IF(K23=0,TRUE,FALSE)</formula>
    </cfRule>
  </conditionalFormatting>
  <conditionalFormatting sqref="P25">
    <cfRule type="expression" dxfId="75" priority="14">
      <formula>IF(K25=0,TRUE,FALSE)</formula>
    </cfRule>
    <cfRule type="expression" dxfId="74" priority="15">
      <formula>IF(K25=0.5,TRUE,FALSE)</formula>
    </cfRule>
    <cfRule type="expression" dxfId="73" priority="18">
      <formula>IF($P25&lt;&gt;"",TRUE,FALSE)</formula>
    </cfRule>
    <cfRule type="expression" dxfId="72" priority="20">
      <formula>IF(K25=1,TRUE,FALSE)</formula>
    </cfRule>
  </conditionalFormatting>
  <conditionalFormatting sqref="Q25:S25">
    <cfRule type="expression" dxfId="71" priority="22">
      <formula>IF($P25&lt;&gt;"",TRUE,FALSE)</formula>
    </cfRule>
  </conditionalFormatting>
  <conditionalFormatting sqref="Q25:R25">
    <cfRule type="expression" dxfId="70" priority="21">
      <formula>IF(ISBLANK(Q25),TRUE,FALSE)</formula>
    </cfRule>
  </conditionalFormatting>
  <conditionalFormatting sqref="S25">
    <cfRule type="expression" dxfId="69" priority="16">
      <formula>IF(K25=0.5,TRUE,FALSE)</formula>
    </cfRule>
    <cfRule type="expression" dxfId="68" priority="17">
      <formula>IF(K25=1,TRUE,FALSE)</formula>
    </cfRule>
    <cfRule type="expression" dxfId="67" priority="19">
      <formula>IF(K25=0,TRUE,FALSE)</formula>
    </cfRule>
  </conditionalFormatting>
  <conditionalFormatting sqref="Z6:AA6 AA7:AA13">
    <cfRule type="expression" dxfId="66" priority="13">
      <formula>IF($P6&lt;&gt;"",TRUE,FALSE)</formula>
    </cfRule>
  </conditionalFormatting>
  <conditionalFormatting sqref="Z7:Z13 Z15:AA17">
    <cfRule type="expression" dxfId="65" priority="12">
      <formula>IF($P7&lt;&gt;"",TRUE,FALSE)</formula>
    </cfRule>
  </conditionalFormatting>
  <conditionalFormatting sqref="Z18:AA18 Z20:AA21">
    <cfRule type="expression" dxfId="64" priority="11">
      <formula>IF($P18&lt;&gt;"",TRUE,FALSE)</formula>
    </cfRule>
  </conditionalFormatting>
  <conditionalFormatting sqref="Z23:AA23 Z25:AA25">
    <cfRule type="expression" dxfId="63" priority="10">
      <formula>IF($P23&lt;&gt;"",TRUE,FALSE)</formula>
    </cfRule>
  </conditionalFormatting>
  <conditionalFormatting sqref="O7:O25">
    <cfRule type="expression" dxfId="62" priority="7">
      <formula>IF(NOT(ISBLANK(O7)),TRUE,FALSE)</formula>
    </cfRule>
    <cfRule type="expression" dxfId="61" priority="8">
      <formula>IF(AND(ISBLANK(O7),K7=0.5),TRUE,FALSE)</formula>
    </cfRule>
    <cfRule type="expression" dxfId="60" priority="9">
      <formula>IF(AND(Q7=R7,AND(Q7&lt;&gt;"",R7&lt;&gt;"")),TRUE,FALSE)</formula>
    </cfRule>
  </conditionalFormatting>
  <conditionalFormatting sqref="T7:T25">
    <cfRule type="expression" dxfId="59" priority="4">
      <formula>IF(NOT(ISBLANK(T7)),TRUE,FALSE)</formula>
    </cfRule>
    <cfRule type="expression" dxfId="58" priority="5">
      <formula>IF(AND(ISBLANK(T7),K7=0.5),TRUE,FALSE)</formula>
    </cfRule>
    <cfRule type="expression" dxfId="57" priority="6">
      <formula>IF(AND(Q7=R7,AND(Q7&lt;&gt;"",R7&lt;&gt;"")),TRUE,FALSE)</formula>
    </cfRule>
  </conditionalFormatting>
  <conditionalFormatting sqref="AO15:AQ15">
    <cfRule type="expression" dxfId="56" priority="3">
      <formula>IF(AO15="",FALSE,TRUE)</formula>
    </cfRule>
  </conditionalFormatting>
  <conditionalFormatting sqref="AO16:AQ16">
    <cfRule type="expression" dxfId="55" priority="2">
      <formula>IF(AO16="",FALSE,TRUE)</formula>
    </cfRule>
  </conditionalFormatting>
  <conditionalFormatting sqref="AO17:AQ17">
    <cfRule type="expression" dxfId="54" priority="1">
      <formula>IF(AO17="",FALSE,TRUE)</formula>
    </cfRule>
  </conditionalFormatting>
  <dataValidations count="1">
    <dataValidation type="list" allowBlank="1" showInputMessage="1" showErrorMessage="1" sqref="Z6:Z13 Z15:Z18 Z20:Z21 Z23 Z25">
      <formula1>estadios</formula1>
    </dataValidation>
  </dataValidations>
  <pageMargins left="0.7" right="0.7" top="0.75" bottom="0.75" header="0.3" footer="0.3"/>
  <pageSetup paperSize="9" orientation="portrait" horizontalDpi="0" verticalDpi="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9</vt:i4>
      </vt:variant>
    </vt:vector>
  </HeadingPairs>
  <TitlesOfParts>
    <vt:vector size="23" baseType="lpstr">
      <vt:lpstr>Config</vt:lpstr>
      <vt:lpstr>ConfigPaises</vt:lpstr>
      <vt:lpstr>ConfigEstadios</vt:lpstr>
      <vt:lpstr>ConfigHorarios</vt:lpstr>
      <vt:lpstr>ConfigParejas</vt:lpstr>
      <vt:lpstr>Portada</vt:lpstr>
      <vt:lpstr>FaseGrupos</vt:lpstr>
      <vt:lpstr>FairPlay</vt:lpstr>
      <vt:lpstr>FaseFinal</vt:lpstr>
      <vt:lpstr>Equipos</vt:lpstr>
      <vt:lpstr>Sedes</vt:lpstr>
      <vt:lpstr>Grupos</vt:lpstr>
      <vt:lpstr>Version</vt:lpstr>
      <vt:lpstr>Traduccion</vt:lpstr>
      <vt:lpstr>config_abreviaturas</vt:lpstr>
      <vt:lpstr>config_filas</vt:lpstr>
      <vt:lpstr>estadios</vt:lpstr>
      <vt:lpstr>estadios_final</vt:lpstr>
      <vt:lpstr>estadios_final_cnf</vt:lpstr>
      <vt:lpstr>estadios_grupos</vt:lpstr>
      <vt:lpstr>estadios_grupos_cnf</vt:lpstr>
      <vt:lpstr>paises_cnf</vt:lpstr>
      <vt:lpstr>paises_nombres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PC</cp:lastModifiedBy>
  <dcterms:created xsi:type="dcterms:W3CDTF">2006-09-16T00:00:00Z</dcterms:created>
  <dcterms:modified xsi:type="dcterms:W3CDTF">2018-07-16T23:56:25Z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7b6d73ff-224b-4960-83c0-7843fcc0f542</vt:lpwstr>
  </property>
</Properties>
</file>